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45" tabRatio="658" firstSheet="1" activeTab="4"/>
  </bookViews>
  <sheets>
    <sheet name="1) costi totali + UE" sheetId="1" r:id="rId1"/>
    <sheet name="2) spesa pubblica totale +UE" sheetId="2" r:id="rId2"/>
    <sheet name="3) costi totali +Bolzano" sheetId="3" r:id="rId3"/>
    <sheet name="4) costi totali +Stato" sheetId="4" r:id="rId4"/>
    <sheet name="7) nuova Ver.445 privati" sheetId="5" r:id="rId5"/>
    <sheet name="5) Top Up e costi totali" sheetId="6" r:id="rId6"/>
    <sheet name="6) Top Up e quota BZ" sheetId="7" r:id="rId7"/>
  </sheets>
  <definedNames/>
  <calcPr fullCalcOnLoad="1"/>
</workbook>
</file>

<file path=xl/sharedStrings.xml><?xml version="1.0" encoding="utf-8"?>
<sst xmlns="http://schemas.openxmlformats.org/spreadsheetml/2006/main" count="600" uniqueCount="81">
  <si>
    <t>misure</t>
  </si>
  <si>
    <t>totale</t>
  </si>
  <si>
    <t>spesa totale</t>
  </si>
  <si>
    <t>contributo UE</t>
  </si>
  <si>
    <t>Programma</t>
  </si>
  <si>
    <t>Reg. 2078 in corso</t>
  </si>
  <si>
    <t xml:space="preserve"> anno </t>
  </si>
  <si>
    <t>imboschimento delle superfici agricole (NOTA BENE: Reg. 2080 in corso anni 2001 e 2002!)</t>
  </si>
  <si>
    <t>15 A</t>
  </si>
  <si>
    <t>15 B 1</t>
  </si>
  <si>
    <t>15 B 2</t>
  </si>
  <si>
    <t>5 - II</t>
  </si>
  <si>
    <t>5 - II a</t>
  </si>
  <si>
    <t>5 - II b</t>
  </si>
  <si>
    <t>Investimenti nelle aziende agricole (articoli 4-7)</t>
  </si>
  <si>
    <t>Insediamento dei giovani agricoltori (art.8)</t>
  </si>
  <si>
    <t>Prepensionamento (articoli 10 -12)</t>
  </si>
  <si>
    <t>ricomposizione fondiaria (articolo 33, 2°)</t>
  </si>
  <si>
    <t>altre misure forestali - Sostegno agli investimenti a favore della trasformazione e commercializzazione dei prodotti forestali</t>
  </si>
  <si>
    <t>Miglioramento e razionalizzazione delle condizioni per il raccolto, la trasformazione e commercializzazione dei prodotti della selvicoltura (art. 30, 3°)</t>
  </si>
  <si>
    <t>Sviluppo e miglioramento della competitività dei prodotti forestali, nonché misure a sostegno di azioni riguardanti iniziative collettive per la commercializzazione ed iniziative promozionali (art.30, 4°)</t>
  </si>
  <si>
    <t>5 - I</t>
  </si>
  <si>
    <t>5 - I A</t>
  </si>
  <si>
    <t>5 - I B</t>
  </si>
  <si>
    <t>Investimenti nell'agriturismo (art. 33, 10°)</t>
  </si>
  <si>
    <t>miglioramento delle condizioni di trasformazione e commercializzazione dei prodotti agricoli (articoli 25 -28)</t>
  </si>
  <si>
    <t>avviamento di servizi di sostituzione e di assistenza alla gestione delle aziende agricole (art.33, 3°)</t>
  </si>
  <si>
    <t>Formazione (art. 9)</t>
  </si>
  <si>
    <t>diversificazione delle attività del settore agricolo e delle attività affini allo scopo di sviluppare attvità plurime o fonti alternative di reddito (art.33, 7°)</t>
  </si>
  <si>
    <t>commercializzazione di prodotti agricoli di qualità (art. 33,4°)</t>
  </si>
  <si>
    <t>sviluppo e miglioramento delle infrastrutture connesse allo sviluppo dell'agricoltura (art.33, 9°)</t>
  </si>
  <si>
    <t>gestione delle risorse idriche in agricoltura (art.33, 8°)</t>
  </si>
  <si>
    <t>misure agro-ambientali (articoli 22 - 24)</t>
  </si>
  <si>
    <t>zone svantaggiate e zone soggette a vincoli ambientali - indennità compensativa (articoli 15, a) e 16)</t>
  </si>
  <si>
    <t>Misure volte alla tutela dell'ambiente, in relazione all'agricoltura, alla conservazione delle risorse naturali nonché al benessere degli animali (art.33, 11°)</t>
  </si>
  <si>
    <t>Misure volte alla conservazione ed alla gestione sostenibile dei boschi ed al potenziamento della loro funzione ambientale e protettiva (art.30, 2°)</t>
  </si>
  <si>
    <t>15 B</t>
  </si>
  <si>
    <t>premi differenziati per utilizzazioni boschive in condizioni disagiate</t>
  </si>
  <si>
    <t>Misure per la conservazione e la gestione sostenibile dei boschi e per il potenziamento della loro funzione ambientale e protettiva</t>
  </si>
  <si>
    <t>Investimenti nell'agriturismo e in infrastrutture connesse al turismo rurale, inclusa l'informazione nel settore forestale (art. 33, 10°)</t>
  </si>
  <si>
    <t>Investimenti in infrastrutture connesse al turismo rurale, inclusa l'informazione nel settore forestale (art. 33, 10°)</t>
  </si>
  <si>
    <t>spesa pubblica totale</t>
  </si>
  <si>
    <t>contributo BZ</t>
  </si>
  <si>
    <t>contributo Stato</t>
  </si>
  <si>
    <t>top-up Bolzano</t>
  </si>
  <si>
    <t>Risorse del FEOGA sezione Garanzia per le misure di promozione dell'adeguamento e dello sviluppo delle zone rurali (articolo 33 del regolamento (CE) n.1257/99 nelle zone (rurali) dell'obiettivo 2: 6,871 milioni di euro (56,6% del totale per l'articolo 33)</t>
  </si>
  <si>
    <t xml:space="preserve">Tabella di pianificazione finanziaria: PSR della Provincia Autonoma di Bolzano - 2000/2006 - </t>
  </si>
  <si>
    <t>spesa (costi) totali e quota FEOGA per anno e per misura</t>
  </si>
  <si>
    <t>spesa pubblica totale (UE, Stato e Bolzano) e quota FEOGA per anno e per misura</t>
  </si>
  <si>
    <t>spesa (costi) totali e quota Bolzano per anno e per misura</t>
  </si>
  <si>
    <t>spesa (costi) totali e quota Stato per anno e per misura</t>
  </si>
  <si>
    <t>TOP-UP AIUTI DI STATO - spesa (costi) totali e quota Bolzano per anno e per misura</t>
  </si>
  <si>
    <t>TOP-UP AIUTI DI STATO - spesa pubblica totale (Bolzano) e quota Bolzano per anno e per misura</t>
  </si>
  <si>
    <t>ANTICIPO 12,5% SULLA QUOTA UE</t>
  </si>
  <si>
    <t>2000-2006</t>
  </si>
  <si>
    <t>privati</t>
  </si>
  <si>
    <t>A</t>
  </si>
  <si>
    <t>B</t>
  </si>
  <si>
    <t>D</t>
  </si>
  <si>
    <t>K</t>
  </si>
  <si>
    <t>I</t>
  </si>
  <si>
    <t>H</t>
  </si>
  <si>
    <t>C</t>
  </si>
  <si>
    <t>P</t>
  </si>
  <si>
    <t>F</t>
  </si>
  <si>
    <t>E</t>
  </si>
  <si>
    <t>G</t>
  </si>
  <si>
    <t>L</t>
  </si>
  <si>
    <t>M</t>
  </si>
  <si>
    <t>R</t>
  </si>
  <si>
    <t>Q</t>
  </si>
  <si>
    <t>T</t>
  </si>
  <si>
    <t>S</t>
  </si>
  <si>
    <t>numero</t>
  </si>
  <si>
    <t>PSR</t>
  </si>
  <si>
    <t>lettera</t>
  </si>
  <si>
    <t>445/2</t>
  </si>
  <si>
    <t>Spese totali realizzate</t>
  </si>
  <si>
    <t>Totale piano - decisione 2668 del 15/9/2000</t>
  </si>
  <si>
    <t>Sottoutilizzazione</t>
  </si>
  <si>
    <t>Sovrautilizzazione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</si>
</sst>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0.000"/>
    <numFmt numFmtId="188" formatCode="0.0000"/>
    <numFmt numFmtId="189" formatCode="0.0000000"/>
    <numFmt numFmtId="190" formatCode="0.000000"/>
    <numFmt numFmtId="191" formatCode="0.00000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#,##0.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</numFmts>
  <fonts count="11">
    <font>
      <sz val="9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187" fontId="1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87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justify"/>
    </xf>
    <xf numFmtId="0" fontId="9" fillId="0" borderId="0" xfId="0" applyFont="1" applyFill="1" applyAlignment="1">
      <alignment/>
    </xf>
    <xf numFmtId="0" fontId="6" fillId="0" borderId="2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190" fontId="1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190" fontId="1" fillId="0" borderId="0" xfId="0" applyNumberFormat="1" applyFont="1" applyFill="1" applyBorder="1" applyAlignment="1">
      <alignment/>
    </xf>
    <xf numFmtId="171" fontId="7" fillId="0" borderId="0" xfId="15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0" fontId="7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71" fontId="1" fillId="0" borderId="0" xfId="15" applyFont="1" applyFill="1" applyAlignment="1">
      <alignment/>
    </xf>
    <xf numFmtId="0" fontId="0" fillId="0" borderId="0" xfId="0" applyFont="1" applyFill="1" applyAlignment="1">
      <alignment horizontal="left"/>
    </xf>
    <xf numFmtId="190" fontId="0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justify" vertical="center" wrapText="1"/>
    </xf>
    <xf numFmtId="187" fontId="0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 vertical="center" wrapText="1"/>
    </xf>
    <xf numFmtId="187" fontId="9" fillId="0" borderId="0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/>
    </xf>
    <xf numFmtId="0" fontId="1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9" fillId="0" borderId="0" xfId="0" applyNumberFormat="1" applyFont="1" applyFill="1" applyBorder="1" applyAlignment="1">
      <alignment/>
    </xf>
    <xf numFmtId="187" fontId="7" fillId="2" borderId="1" xfId="0" applyNumberFormat="1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1" fillId="0" borderId="1" xfId="0" applyNumberFormat="1" applyFont="1" applyBorder="1" applyAlignment="1">
      <alignment/>
    </xf>
    <xf numFmtId="187" fontId="3" fillId="0" borderId="1" xfId="0" applyNumberFormat="1" applyFont="1" applyBorder="1" applyAlignment="1">
      <alignment/>
    </xf>
    <xf numFmtId="187" fontId="2" fillId="2" borderId="1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87" fontId="1" fillId="3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justify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87" fontId="0" fillId="3" borderId="16" xfId="0" applyNumberFormat="1" applyFont="1" applyFill="1" applyBorder="1" applyAlignment="1">
      <alignment horizontal="justify"/>
    </xf>
    <xf numFmtId="0" fontId="0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187" fontId="7" fillId="2" borderId="22" xfId="0" applyNumberFormat="1" applyFont="1" applyFill="1" applyBorder="1" applyAlignment="1">
      <alignment/>
    </xf>
    <xf numFmtId="187" fontId="10" fillId="2" borderId="23" xfId="0" applyNumberFormat="1" applyFont="1" applyFill="1" applyBorder="1" applyAlignment="1">
      <alignment/>
    </xf>
    <xf numFmtId="187" fontId="10" fillId="2" borderId="1" xfId="0" applyNumberFormat="1" applyFont="1" applyFill="1" applyBorder="1" applyAlignment="1">
      <alignment/>
    </xf>
    <xf numFmtId="187" fontId="10" fillId="2" borderId="21" xfId="0" applyNumberFormat="1" applyFont="1" applyFill="1" applyBorder="1" applyAlignment="1">
      <alignment/>
    </xf>
    <xf numFmtId="187" fontId="0" fillId="0" borderId="23" xfId="0" applyNumberFormat="1" applyFont="1" applyFill="1" applyBorder="1" applyAlignment="1">
      <alignment/>
    </xf>
    <xf numFmtId="187" fontId="0" fillId="0" borderId="1" xfId="0" applyNumberFormat="1" applyFont="1" applyFill="1" applyBorder="1" applyAlignment="1">
      <alignment/>
    </xf>
    <xf numFmtId="187" fontId="0" fillId="0" borderId="21" xfId="0" applyNumberFormat="1" applyFont="1" applyFill="1" applyBorder="1" applyAlignment="1">
      <alignment/>
    </xf>
    <xf numFmtId="187" fontId="0" fillId="0" borderId="6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/>
    </xf>
    <xf numFmtId="187" fontId="9" fillId="0" borderId="24" xfId="0" applyNumberFormat="1" applyFont="1" applyFill="1" applyBorder="1" applyAlignment="1">
      <alignment/>
    </xf>
    <xf numFmtId="187" fontId="9" fillId="0" borderId="18" xfId="0" applyNumberFormat="1" applyFont="1" applyFill="1" applyBorder="1" applyAlignment="1">
      <alignment/>
    </xf>
    <xf numFmtId="187" fontId="9" fillId="0" borderId="25" xfId="0" applyNumberFormat="1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V56"/>
  <sheetViews>
    <sheetView showGridLines="0" showZeros="0" workbookViewId="0" topLeftCell="I5">
      <pane ySplit="3" topLeftCell="BM19" activePane="bottomLeft" state="frozen"/>
      <selection pane="topLeft" activeCell="J14" sqref="J14"/>
      <selection pane="bottomLeft" activeCell="P28" sqref="P28"/>
    </sheetView>
  </sheetViews>
  <sheetFormatPr defaultColWidth="11.421875" defaultRowHeight="12"/>
  <cols>
    <col min="1" max="1" width="7.8515625" style="2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20" width="10.57421875" style="1" bestFit="1" customWidth="1"/>
    <col min="21" max="16384" width="9.140625" style="1" customWidth="1"/>
  </cols>
  <sheetData>
    <row r="1" spans="1:2" ht="12.75">
      <c r="A1" s="41" t="s">
        <v>46</v>
      </c>
      <c r="B1" s="23"/>
    </row>
    <row r="2" spans="1:2" ht="12.75">
      <c r="A2" s="23"/>
      <c r="B2" s="23"/>
    </row>
    <row r="3" spans="1:2" ht="12.75">
      <c r="A3" s="40" t="s">
        <v>47</v>
      </c>
      <c r="B3" s="33"/>
    </row>
    <row r="5" spans="1:19" s="2" customFormat="1" ht="12.75">
      <c r="A5" s="82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3</v>
      </c>
      <c r="F7" s="14" t="s">
        <v>2</v>
      </c>
      <c r="G7" s="14" t="s">
        <v>3</v>
      </c>
      <c r="H7" s="14" t="s">
        <v>2</v>
      </c>
      <c r="I7" s="14" t="s">
        <v>3</v>
      </c>
      <c r="J7" s="90" t="s">
        <v>2</v>
      </c>
      <c r="K7" s="90" t="s">
        <v>3</v>
      </c>
      <c r="L7" s="90" t="s">
        <v>2</v>
      </c>
      <c r="M7" s="90" t="s">
        <v>3</v>
      </c>
      <c r="N7" s="90" t="s">
        <v>2</v>
      </c>
      <c r="O7" s="90" t="s">
        <v>3</v>
      </c>
      <c r="P7" s="90" t="s">
        <v>2</v>
      </c>
      <c r="Q7" s="90" t="s">
        <v>3</v>
      </c>
      <c r="R7" s="90" t="s">
        <v>2</v>
      </c>
      <c r="S7" s="90" t="s">
        <v>3</v>
      </c>
    </row>
    <row r="8" spans="1:20" s="4" customFormat="1" ht="22.5">
      <c r="A8" s="88">
        <v>1</v>
      </c>
      <c r="B8" s="88" t="s">
        <v>56</v>
      </c>
      <c r="C8" s="6" t="s">
        <v>14</v>
      </c>
      <c r="D8" s="75">
        <f>+E8</f>
        <v>0.117857</v>
      </c>
      <c r="E8" s="75">
        <v>0.117857</v>
      </c>
      <c r="F8" s="75">
        <f>4.366-0.057</f>
        <v>4.308999999999999</v>
      </c>
      <c r="G8" s="75">
        <f>0.67791819</f>
        <v>0.67791819</v>
      </c>
      <c r="H8" s="75">
        <v>5.923</v>
      </c>
      <c r="I8" s="75">
        <v>0.92331716</v>
      </c>
      <c r="J8" s="76">
        <f>+K8/0.15</f>
        <v>6.113333333333334</v>
      </c>
      <c r="K8" s="76">
        <v>0.917</v>
      </c>
      <c r="L8" s="76">
        <v>8.905</v>
      </c>
      <c r="M8" s="76">
        <v>1.335565</v>
      </c>
      <c r="N8" s="76">
        <v>8.859</v>
      </c>
      <c r="O8" s="76">
        <v>1.32885</v>
      </c>
      <c r="P8" s="76">
        <f>9.769-0.117857+0.902-0.78</f>
        <v>9.773143</v>
      </c>
      <c r="Q8" s="76">
        <f>1.39935-0.117857+0.135-0.117</f>
        <v>1.299493</v>
      </c>
      <c r="R8" s="76">
        <f>+P8+N8+L8+J8+H8+F8+D8</f>
        <v>44.00033333333334</v>
      </c>
      <c r="S8" s="76">
        <f aca="true" t="shared" si="0" ref="R8:S11">+Q8+O8+M8+K8+I8+G8+E8</f>
        <v>6.600000349999999</v>
      </c>
      <c r="T8" s="5"/>
    </row>
    <row r="9" spans="1:20" ht="12.75">
      <c r="A9" s="88">
        <v>2</v>
      </c>
      <c r="B9" s="88" t="s">
        <v>57</v>
      </c>
      <c r="C9" s="6" t="s">
        <v>15</v>
      </c>
      <c r="D9" s="75">
        <f>+E9</f>
        <v>0.03125</v>
      </c>
      <c r="E9" s="75">
        <v>0.03125</v>
      </c>
      <c r="F9" s="75">
        <v>0.575</v>
      </c>
      <c r="G9" s="75">
        <v>0.28749995</v>
      </c>
      <c r="H9" s="75">
        <v>1.4975</v>
      </c>
      <c r="I9" s="75">
        <v>0.74875</v>
      </c>
      <c r="J9" s="76">
        <f>+K9/0.5</f>
        <v>1.12</v>
      </c>
      <c r="K9" s="76">
        <v>0.56</v>
      </c>
      <c r="L9" s="76">
        <v>0.885307</v>
      </c>
      <c r="M9" s="76">
        <f>0.443</f>
        <v>0.443</v>
      </c>
      <c r="N9" s="76">
        <v>0.887</v>
      </c>
      <c r="O9" s="76">
        <v>0.443</v>
      </c>
      <c r="P9" s="76">
        <f>1.1225-0.03125-0.235-0.000307</f>
        <v>0.8559430000000001</v>
      </c>
      <c r="Q9" s="76">
        <f>0.56075-0.03125-0.117</f>
        <v>0.4125</v>
      </c>
      <c r="R9" s="76">
        <f t="shared" si="0"/>
        <v>5.852</v>
      </c>
      <c r="S9" s="76">
        <f t="shared" si="0"/>
        <v>2.92599995</v>
      </c>
      <c r="T9" s="52"/>
    </row>
    <row r="10" spans="1:19" ht="12.75">
      <c r="A10" s="88">
        <v>3</v>
      </c>
      <c r="B10" s="88" t="s">
        <v>58</v>
      </c>
      <c r="C10" s="6" t="s">
        <v>16</v>
      </c>
      <c r="D10" s="75">
        <f>+E10</f>
        <v>0.006696</v>
      </c>
      <c r="E10" s="75">
        <v>0.006696</v>
      </c>
      <c r="F10" s="75">
        <v>0</v>
      </c>
      <c r="G10" s="75">
        <v>0</v>
      </c>
      <c r="H10" s="75">
        <v>0</v>
      </c>
      <c r="I10" s="75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f>+Q10</f>
        <v>0</v>
      </c>
      <c r="Q10" s="76">
        <v>0</v>
      </c>
      <c r="R10" s="76">
        <f t="shared" si="0"/>
        <v>0.006696</v>
      </c>
      <c r="S10" s="76">
        <f t="shared" si="0"/>
        <v>0.006696</v>
      </c>
    </row>
    <row r="11" spans="1:19" ht="12.75">
      <c r="A11" s="88">
        <v>4</v>
      </c>
      <c r="B11" s="88" t="s">
        <v>59</v>
      </c>
      <c r="C11" s="6" t="s">
        <v>17</v>
      </c>
      <c r="D11" s="75">
        <f>+E11</f>
        <v>0.001786</v>
      </c>
      <c r="E11" s="75">
        <v>0.001786</v>
      </c>
      <c r="F11" s="75">
        <v>0</v>
      </c>
      <c r="G11" s="75">
        <v>0</v>
      </c>
      <c r="H11" s="75">
        <v>0</v>
      </c>
      <c r="I11" s="75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f>+Q11</f>
        <v>0</v>
      </c>
      <c r="Q11" s="76">
        <v>0</v>
      </c>
      <c r="R11" s="76">
        <f t="shared" si="0"/>
        <v>0.001786</v>
      </c>
      <c r="S11" s="76">
        <f t="shared" si="0"/>
        <v>0.001786</v>
      </c>
    </row>
    <row r="12" spans="1:20" s="4" customFormat="1" ht="45">
      <c r="A12" s="88" t="s">
        <v>21</v>
      </c>
      <c r="B12" s="88" t="s">
        <v>72</v>
      </c>
      <c r="C12" s="6" t="s">
        <v>39</v>
      </c>
      <c r="D12" s="75">
        <f>SUM(D13:D14)</f>
        <v>0.040179</v>
      </c>
      <c r="E12" s="75">
        <f>SUM(E13:E14)</f>
        <v>0.040179</v>
      </c>
      <c r="F12" s="75">
        <f>SUM(F13:F14)</f>
        <v>1.778</v>
      </c>
      <c r="G12" s="75">
        <f>SUM(G13:G14)</f>
        <v>0.25765665</v>
      </c>
      <c r="H12" s="75">
        <f aca="true" t="shared" si="1" ref="H12:Q12">SUM(H13:H14)</f>
        <v>1.16</v>
      </c>
      <c r="I12" s="75">
        <f t="shared" si="1"/>
        <v>0.18319147</v>
      </c>
      <c r="J12" s="76">
        <f t="shared" si="1"/>
        <v>2.4866666666666664</v>
      </c>
      <c r="K12" s="76">
        <f t="shared" si="1"/>
        <v>0.423</v>
      </c>
      <c r="L12" s="76">
        <f t="shared" si="1"/>
        <v>3.153</v>
      </c>
      <c r="M12" s="76">
        <f t="shared" si="1"/>
        <v>0.5630000000000001</v>
      </c>
      <c r="N12" s="76">
        <f t="shared" si="1"/>
        <v>2.947</v>
      </c>
      <c r="O12" s="76">
        <f t="shared" si="1"/>
        <v>0.53205</v>
      </c>
      <c r="P12" s="76">
        <f t="shared" si="1"/>
        <v>4.794821</v>
      </c>
      <c r="Q12" s="76">
        <f t="shared" si="1"/>
        <v>0.994921</v>
      </c>
      <c r="R12" s="76">
        <f>SUM(P12+N12+L12+J12+H12+F12+D12)</f>
        <v>16.359666666666666</v>
      </c>
      <c r="S12" s="76">
        <f>SUM(Q12+O12+M12+K12+I12+G12+E12)</f>
        <v>2.9939981200000005</v>
      </c>
      <c r="T12" s="5"/>
    </row>
    <row r="13" spans="1:19" s="4" customFormat="1" ht="12.75">
      <c r="A13" s="88" t="s">
        <v>22</v>
      </c>
      <c r="B13" s="88"/>
      <c r="C13" s="6" t="s">
        <v>24</v>
      </c>
      <c r="D13" s="75">
        <f>+E13</f>
        <v>0.040179</v>
      </c>
      <c r="E13" s="75">
        <v>0.040179</v>
      </c>
      <c r="F13" s="75">
        <v>1.778</v>
      </c>
      <c r="G13" s="75">
        <v>0.25765665</v>
      </c>
      <c r="H13" s="75">
        <v>1.115</v>
      </c>
      <c r="I13" s="75">
        <f>0.172+0.00019147</f>
        <v>0.17219146999999999</v>
      </c>
      <c r="J13" s="76">
        <f>+K13/0.15</f>
        <v>1.9866666666666666</v>
      </c>
      <c r="K13" s="76">
        <v>0.298</v>
      </c>
      <c r="L13" s="76">
        <v>2.253</v>
      </c>
      <c r="M13" s="76">
        <v>0.338</v>
      </c>
      <c r="N13" s="76">
        <v>2.047</v>
      </c>
      <c r="O13" s="76">
        <v>0.30705</v>
      </c>
      <c r="P13" s="76">
        <f>1.514-0.040179+0.266</f>
        <v>1.739821</v>
      </c>
      <c r="Q13" s="76">
        <f>0.2311-0.040179+0.04</f>
        <v>0.23092100000000002</v>
      </c>
      <c r="R13" s="76">
        <f>SUM(P13+N13+L13+J13+H13+F13+D13)</f>
        <v>10.959666666666667</v>
      </c>
      <c r="S13" s="76">
        <f>SUM(Q13+O13+M13+K13+I13+G13+E13)</f>
        <v>1.64399812</v>
      </c>
    </row>
    <row r="14" spans="1:20" s="4" customFormat="1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v>0.011</v>
      </c>
      <c r="J14" s="76">
        <f>+K14/0.25</f>
        <v>0.5</v>
      </c>
      <c r="K14" s="76">
        <v>0.125</v>
      </c>
      <c r="L14" s="76">
        <f>0.9</f>
        <v>0.9</v>
      </c>
      <c r="M14" s="76">
        <v>0.225</v>
      </c>
      <c r="N14" s="76">
        <f>0.9</f>
        <v>0.9</v>
      </c>
      <c r="O14" s="76">
        <v>0.225</v>
      </c>
      <c r="P14" s="76">
        <f>2.655+0.4</f>
        <v>3.0549999999999997</v>
      </c>
      <c r="Q14" s="76">
        <f>0.664+0.1</f>
        <v>0.764</v>
      </c>
      <c r="R14" s="76">
        <f>SUM(P14+N14+L14+J14+H14+F14)</f>
        <v>5.3999999999999995</v>
      </c>
      <c r="S14" s="76">
        <f>SUM(Q14+O14+M14+K14+I14+G14)</f>
        <v>1.3499999999999999</v>
      </c>
      <c r="T14" s="5"/>
    </row>
    <row r="15" spans="1:20" ht="45">
      <c r="A15" s="88" t="s">
        <v>11</v>
      </c>
      <c r="B15" s="88" t="s">
        <v>60</v>
      </c>
      <c r="C15" s="6" t="s">
        <v>18</v>
      </c>
      <c r="D15" s="75">
        <f>SUM(D16:D17)</f>
        <v>0.1455</v>
      </c>
      <c r="E15" s="75">
        <f>SUM(E16:E17)</f>
        <v>0.1455</v>
      </c>
      <c r="F15" s="75">
        <f aca="true" t="shared" si="2" ref="F15:Q15">SUM(F16:F17)</f>
        <v>0.125</v>
      </c>
      <c r="G15" s="75">
        <f>SUM(G16:G17)</f>
        <v>0.023</v>
      </c>
      <c r="H15" s="75">
        <f t="shared" si="2"/>
        <v>1.075</v>
      </c>
      <c r="I15" s="75">
        <f t="shared" si="2"/>
        <v>0.16899999999999998</v>
      </c>
      <c r="J15" s="76">
        <f t="shared" si="2"/>
        <v>0.833</v>
      </c>
      <c r="K15" s="76">
        <f t="shared" si="2"/>
        <v>0.13655</v>
      </c>
      <c r="L15" s="76">
        <f t="shared" si="2"/>
        <v>0.9</v>
      </c>
      <c r="M15" s="76">
        <f t="shared" si="2"/>
        <v>0.153333</v>
      </c>
      <c r="N15" s="76">
        <f t="shared" si="2"/>
        <v>0.9</v>
      </c>
      <c r="O15" s="76">
        <f t="shared" si="2"/>
        <v>0.153333</v>
      </c>
      <c r="P15" s="76">
        <f t="shared" si="2"/>
        <v>1.4215</v>
      </c>
      <c r="Q15" s="76">
        <f t="shared" si="2"/>
        <v>0.13953400000000002</v>
      </c>
      <c r="R15" s="76">
        <f>SUM(P15+N15+L15+J15+H15+F15+D15)</f>
        <v>5.4</v>
      </c>
      <c r="S15" s="76">
        <f>SUM(Q15+O15+M15+K15+I15+G15+E15)</f>
        <v>0.9202499999999999</v>
      </c>
      <c r="T15" s="7"/>
    </row>
    <row r="16" spans="1:19" ht="45">
      <c r="A16" s="88" t="s">
        <v>12</v>
      </c>
      <c r="B16" s="88"/>
      <c r="C16" s="6" t="s">
        <v>19</v>
      </c>
      <c r="D16" s="75">
        <f>+E16</f>
        <v>0.1455</v>
      </c>
      <c r="E16" s="75">
        <v>0.1455</v>
      </c>
      <c r="F16" s="75">
        <v>0.08</v>
      </c>
      <c r="G16" s="75">
        <v>0.012</v>
      </c>
      <c r="H16" s="75">
        <v>1.005</v>
      </c>
      <c r="I16" s="75">
        <v>0.151</v>
      </c>
      <c r="J16" s="76">
        <v>0.717</v>
      </c>
      <c r="K16" s="76">
        <v>0.10755</v>
      </c>
      <c r="L16" s="76">
        <v>0.716667</v>
      </c>
      <c r="M16" s="76">
        <v>0.1075</v>
      </c>
      <c r="N16" s="76">
        <v>0.716667</v>
      </c>
      <c r="O16" s="76">
        <v>0.1075</v>
      </c>
      <c r="P16" s="76">
        <f>1.064666-0.1455</f>
        <v>0.9191659999999999</v>
      </c>
      <c r="Q16" s="76">
        <f>0.15945-0.1455</f>
        <v>0.013950000000000018</v>
      </c>
      <c r="R16" s="76">
        <f>SUM(P16+N16+L16+J16+H16+F16+D16)</f>
        <v>4.300000000000001</v>
      </c>
      <c r="S16" s="76">
        <f>SUM(Q16+O16+M16+K16+I16+G16+E16)</f>
        <v>0.645</v>
      </c>
    </row>
    <row r="17" spans="1:19" ht="67.5">
      <c r="A17" s="88" t="s">
        <v>13</v>
      </c>
      <c r="B17" s="88"/>
      <c r="C17" s="6" t="s">
        <v>20</v>
      </c>
      <c r="D17" s="75"/>
      <c r="E17" s="75"/>
      <c r="F17" s="75">
        <v>0.045</v>
      </c>
      <c r="G17" s="75">
        <v>0.011</v>
      </c>
      <c r="H17" s="75">
        <v>0.07</v>
      </c>
      <c r="I17" s="75">
        <v>0.018</v>
      </c>
      <c r="J17" s="76">
        <f>+K17/0.25</f>
        <v>0.116</v>
      </c>
      <c r="K17" s="76">
        <v>0.029</v>
      </c>
      <c r="L17" s="76">
        <v>0.183333</v>
      </c>
      <c r="M17" s="76">
        <v>0.045833</v>
      </c>
      <c r="N17" s="76">
        <v>0.183333</v>
      </c>
      <c r="O17" s="76">
        <v>0.045833</v>
      </c>
      <c r="P17" s="76">
        <f>0.435334+0.067</f>
        <v>0.5023340000000001</v>
      </c>
      <c r="Q17" s="76">
        <f>0.108584+0.017</f>
        <v>0.125584</v>
      </c>
      <c r="R17" s="76">
        <f>SUM(P17+N17+L17+J17+H17+F17)</f>
        <v>1.0999999999999999</v>
      </c>
      <c r="S17" s="76">
        <f>SUM(Q17+O17+M17+K17+I17+G17)</f>
        <v>0.27525</v>
      </c>
    </row>
    <row r="18" spans="1:19" ht="33.75">
      <c r="A18" s="88"/>
      <c r="B18" s="88" t="s">
        <v>61</v>
      </c>
      <c r="C18" s="6" t="s">
        <v>7</v>
      </c>
      <c r="D18" s="75">
        <f aca="true" t="shared" si="3" ref="D18:D26">+E18</f>
        <v>0.019107</v>
      </c>
      <c r="E18" s="75">
        <v>0.019107</v>
      </c>
      <c r="F18" s="75">
        <f>0.642-0.642</f>
        <v>0</v>
      </c>
      <c r="G18" s="75">
        <f>+F18/2</f>
        <v>0</v>
      </c>
      <c r="H18" s="75">
        <v>0</v>
      </c>
      <c r="I18" s="75">
        <f>+H18*0.5</f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f>+Q18</f>
        <v>0</v>
      </c>
      <c r="Q18" s="76">
        <v>0</v>
      </c>
      <c r="R18" s="76">
        <f>+P18+N18+L18+J18+H18+F18+D18</f>
        <v>0.019107</v>
      </c>
      <c r="S18" s="76">
        <f>+Q18+O18+M18+K18+I18+G18+E18</f>
        <v>0.019107</v>
      </c>
    </row>
    <row r="19" spans="1:19" ht="33.75">
      <c r="A19" s="88">
        <v>6</v>
      </c>
      <c r="B19" s="88" t="s">
        <v>66</v>
      </c>
      <c r="C19" s="6" t="s">
        <v>25</v>
      </c>
      <c r="D19" s="75">
        <f t="shared" si="3"/>
        <v>0.160714</v>
      </c>
      <c r="E19" s="75">
        <v>0.160714</v>
      </c>
      <c r="F19" s="75">
        <v>13.91558</v>
      </c>
      <c r="G19" s="75">
        <v>2.08733699</v>
      </c>
      <c r="H19" s="75">
        <v>14.258</v>
      </c>
      <c r="I19" s="75">
        <v>2.13875472</v>
      </c>
      <c r="J19" s="76">
        <f>+K19/0.15</f>
        <v>14.666666666666668</v>
      </c>
      <c r="K19" s="76">
        <v>2.2</v>
      </c>
      <c r="L19" s="76">
        <v>10.1</v>
      </c>
      <c r="M19" s="76">
        <v>1.515</v>
      </c>
      <c r="N19" s="76">
        <v>11.1</v>
      </c>
      <c r="O19" s="76">
        <v>1.665</v>
      </c>
      <c r="P19" s="76">
        <f>7.91242-0.160714-2.433-1.353334</f>
        <v>3.9653720000000003</v>
      </c>
      <c r="Q19" s="76">
        <f>1.186908-0.160714-0.365-0.203</f>
        <v>0.45819400000000005</v>
      </c>
      <c r="R19" s="76">
        <f aca="true" t="shared" si="4" ref="R19:R25">+P19+N19+L19+J19+H19+F19+D19</f>
        <v>68.16633266666666</v>
      </c>
      <c r="S19" s="76">
        <f aca="true" t="shared" si="5" ref="S19:S25">+Q19+O19+M19+K19+I19+G19+E19</f>
        <v>10.22499971</v>
      </c>
    </row>
    <row r="20" spans="1:19" ht="33.75">
      <c r="A20" s="88">
        <v>7</v>
      </c>
      <c r="B20" s="88" t="s">
        <v>67</v>
      </c>
      <c r="C20" s="6" t="s">
        <v>26</v>
      </c>
      <c r="D20" s="75">
        <f t="shared" si="3"/>
        <v>0.004464</v>
      </c>
      <c r="E20" s="75">
        <v>0.004464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f>+Q20</f>
        <v>0</v>
      </c>
      <c r="Q20" s="76">
        <v>0</v>
      </c>
      <c r="R20" s="76">
        <f t="shared" si="4"/>
        <v>0.004464</v>
      </c>
      <c r="S20" s="76">
        <f t="shared" si="5"/>
        <v>0.004464</v>
      </c>
    </row>
    <row r="21" spans="1:19" ht="12.75">
      <c r="A21" s="88">
        <v>8</v>
      </c>
      <c r="B21" s="88" t="s">
        <v>62</v>
      </c>
      <c r="C21" s="6" t="s">
        <v>27</v>
      </c>
      <c r="D21" s="75">
        <f t="shared" si="3"/>
        <v>0.006696</v>
      </c>
      <c r="E21" s="75">
        <v>0.006696</v>
      </c>
      <c r="F21" s="75">
        <v>0.075</v>
      </c>
      <c r="G21" s="75">
        <v>0.03749989</v>
      </c>
      <c r="H21" s="75">
        <v>0.135</v>
      </c>
      <c r="I21" s="75">
        <v>0.0675</v>
      </c>
      <c r="J21" s="76">
        <v>0.135</v>
      </c>
      <c r="K21" s="76">
        <v>0.068</v>
      </c>
      <c r="L21" s="76">
        <v>0.135</v>
      </c>
      <c r="M21" s="76">
        <v>0.068</v>
      </c>
      <c r="N21" s="76">
        <v>0.1355</v>
      </c>
      <c r="O21" s="76">
        <v>0.068</v>
      </c>
      <c r="P21" s="76">
        <f>0.1345-0.006696</f>
        <v>0.127804</v>
      </c>
      <c r="Q21" s="76">
        <f>0.068-0.002-0.006696</f>
        <v>0.059304</v>
      </c>
      <c r="R21" s="76">
        <f t="shared" si="4"/>
        <v>0.75</v>
      </c>
      <c r="S21" s="76">
        <f t="shared" si="5"/>
        <v>0.37499988999999995</v>
      </c>
    </row>
    <row r="22" spans="1:19" ht="45">
      <c r="A22" s="88">
        <v>9</v>
      </c>
      <c r="B22" s="88" t="s">
        <v>63</v>
      </c>
      <c r="C22" s="6" t="s">
        <v>28</v>
      </c>
      <c r="D22" s="75">
        <f t="shared" si="3"/>
        <v>0.005357</v>
      </c>
      <c r="E22" s="75">
        <v>0.005357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0.168</v>
      </c>
      <c r="O22" s="76">
        <v>0.031</v>
      </c>
      <c r="P22" s="76">
        <f>0.362-0.005357</f>
        <v>0.356643</v>
      </c>
      <c r="Q22" s="76">
        <f>0.069-0.005357</f>
        <v>0.063643</v>
      </c>
      <c r="R22" s="76">
        <f t="shared" si="4"/>
        <v>0.5299999999999999</v>
      </c>
      <c r="S22" s="76">
        <f t="shared" si="5"/>
        <v>0.1</v>
      </c>
    </row>
    <row r="23" spans="1:19" ht="22.5">
      <c r="A23" s="88">
        <v>10</v>
      </c>
      <c r="B23" s="88" t="s">
        <v>68</v>
      </c>
      <c r="C23" s="6" t="s">
        <v>29</v>
      </c>
      <c r="D23" s="75">
        <f t="shared" si="3"/>
        <v>0.005357</v>
      </c>
      <c r="E23" s="75">
        <v>0.005357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f>+Q23</f>
        <v>0</v>
      </c>
      <c r="Q23" s="76">
        <v>0</v>
      </c>
      <c r="R23" s="76">
        <f t="shared" si="4"/>
        <v>0.005357</v>
      </c>
      <c r="S23" s="76">
        <f t="shared" si="5"/>
        <v>0.005357</v>
      </c>
    </row>
    <row r="24" spans="1:19" ht="33.75">
      <c r="A24" s="88">
        <v>11</v>
      </c>
      <c r="B24" s="88" t="s">
        <v>69</v>
      </c>
      <c r="C24" s="6" t="s">
        <v>30</v>
      </c>
      <c r="D24" s="75">
        <f t="shared" si="3"/>
        <v>0.064286</v>
      </c>
      <c r="E24" s="75">
        <v>0.064286</v>
      </c>
      <c r="F24" s="75">
        <v>0</v>
      </c>
      <c r="G24" s="75">
        <v>0</v>
      </c>
      <c r="H24" s="75">
        <v>0.998</v>
      </c>
      <c r="I24" s="75">
        <v>0.29529291</v>
      </c>
      <c r="J24" s="76">
        <f>+K24/0.296</f>
        <v>1.6216216216216217</v>
      </c>
      <c r="K24" s="76">
        <v>0.48</v>
      </c>
      <c r="L24" s="76">
        <v>2.491</v>
      </c>
      <c r="M24" s="76">
        <v>0.738</v>
      </c>
      <c r="N24" s="76">
        <v>2.333</v>
      </c>
      <c r="O24" s="76">
        <v>0.691</v>
      </c>
      <c r="P24" s="76">
        <f>3.838-0.064286-0.888+1.756756</f>
        <v>4.64247</v>
      </c>
      <c r="Q24" s="76">
        <f>1.137707-0.064286-0.262+0.52</f>
        <v>1.331421</v>
      </c>
      <c r="R24" s="76">
        <f t="shared" si="4"/>
        <v>12.15037762162162</v>
      </c>
      <c r="S24" s="76">
        <f t="shared" si="5"/>
        <v>3.59999991</v>
      </c>
    </row>
    <row r="25" spans="1:19" ht="22.5">
      <c r="A25" s="88">
        <v>12</v>
      </c>
      <c r="B25" s="88" t="s">
        <v>70</v>
      </c>
      <c r="C25" s="6" t="s">
        <v>31</v>
      </c>
      <c r="D25" s="75">
        <f t="shared" si="3"/>
        <v>0.108179</v>
      </c>
      <c r="E25" s="75">
        <v>0.108179</v>
      </c>
      <c r="F25" s="75">
        <v>2.76</v>
      </c>
      <c r="G25" s="75">
        <v>0.81642593</v>
      </c>
      <c r="H25" s="75">
        <v>1.791</v>
      </c>
      <c r="I25" s="75">
        <v>0.48753624</v>
      </c>
      <c r="J25" s="76">
        <f>+K25/0.233</f>
        <v>4.721030042918455</v>
      </c>
      <c r="K25" s="76">
        <v>1.1</v>
      </c>
      <c r="L25" s="76">
        <v>3.343</v>
      </c>
      <c r="M25" s="76">
        <v>0.779</v>
      </c>
      <c r="N25" s="76">
        <v>4.137</v>
      </c>
      <c r="O25" s="76">
        <v>0.964</v>
      </c>
      <c r="P25" s="76">
        <f>8.029-0.108179-1.382</f>
        <v>6.538821</v>
      </c>
      <c r="Q25" s="76">
        <f>1.627038-0.108179-0.322</f>
        <v>1.196859</v>
      </c>
      <c r="R25" s="76">
        <f t="shared" si="4"/>
        <v>23.399030042918454</v>
      </c>
      <c r="S25" s="76">
        <f t="shared" si="5"/>
        <v>5.45200017</v>
      </c>
    </row>
    <row r="26" spans="1:20" s="4" customFormat="1" ht="12.75">
      <c r="A26" s="88">
        <v>13</v>
      </c>
      <c r="B26" s="88" t="s">
        <v>64</v>
      </c>
      <c r="C26" s="6" t="s">
        <v>32</v>
      </c>
      <c r="D26" s="121">
        <f t="shared" si="3"/>
        <v>1.12625</v>
      </c>
      <c r="E26" s="75">
        <v>1.12625</v>
      </c>
      <c r="F26" s="75">
        <f>11.3217522</f>
        <v>11.3217522</v>
      </c>
      <c r="G26" s="75">
        <f>5.6608761</f>
        <v>5.6608761</v>
      </c>
      <c r="H26" s="75">
        <v>16.95335428</v>
      </c>
      <c r="I26" s="75">
        <v>8.47667714</v>
      </c>
      <c r="J26" s="76">
        <f>1.502+0.003332+1.082</f>
        <v>2.587332</v>
      </c>
      <c r="K26" s="76">
        <f>+J26/2</f>
        <v>1.293666</v>
      </c>
      <c r="L26" s="76">
        <v>15.75</v>
      </c>
      <c r="M26" s="76">
        <v>7.875</v>
      </c>
      <c r="N26" s="76">
        <v>15.484</v>
      </c>
      <c r="O26" s="76">
        <v>7.742</v>
      </c>
      <c r="P26" s="76">
        <f>16.795562-1.12625-1.082</f>
        <v>14.587311999999999</v>
      </c>
      <c r="Q26" s="76">
        <f>8.396115-1.12625-0.539</f>
        <v>6.7308650000000005</v>
      </c>
      <c r="R26" s="76">
        <f>P26+N26+L26+J26+H26+F26+D26</f>
        <v>77.81000048</v>
      </c>
      <c r="S26" s="76">
        <f>Q26+O26+M26+K26+I26+G26+E26</f>
        <v>38.90533424</v>
      </c>
      <c r="T26" s="5"/>
    </row>
    <row r="27" spans="1:22" s="4" customFormat="1" ht="12.75">
      <c r="A27" s="88"/>
      <c r="B27" s="88"/>
      <c r="C27" s="6" t="s">
        <v>5</v>
      </c>
      <c r="D27" s="121">
        <v>31.3082581</v>
      </c>
      <c r="E27" s="75">
        <f>+D27/2</f>
        <v>15.65412905</v>
      </c>
      <c r="F27" s="75">
        <f>2.0217454+0.003332</f>
        <v>2.0250774</v>
      </c>
      <c r="G27" s="75">
        <f>1.01099386+0.003332</f>
        <v>1.0143258599999998</v>
      </c>
      <c r="H27" s="75">
        <v>0.75170132</v>
      </c>
      <c r="I27" s="75">
        <v>0.37585066</v>
      </c>
      <c r="J27" s="76">
        <f>14.248295-0.003332</f>
        <v>14.244963</v>
      </c>
      <c r="K27" s="76">
        <f>7.124026-0.003332</f>
        <v>7.120693999999999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/>
      <c r="R27" s="76">
        <f>P27+N27+L27+J27+H27+F27+D27</f>
        <v>48.32999982</v>
      </c>
      <c r="S27" s="76">
        <f>Q27+O27+M27+K27+I27+G27+E27</f>
        <v>24.16499957</v>
      </c>
      <c r="T27" s="5"/>
      <c r="U27" s="5"/>
      <c r="V27" s="5"/>
    </row>
    <row r="28" spans="1:20" ht="33.75">
      <c r="A28" s="88">
        <v>14</v>
      </c>
      <c r="B28" s="88" t="s">
        <v>65</v>
      </c>
      <c r="C28" s="6" t="s">
        <v>33</v>
      </c>
      <c r="D28" s="75">
        <f>+E28</f>
        <v>0.271072</v>
      </c>
      <c r="E28" s="75">
        <v>0.271072</v>
      </c>
      <c r="F28" s="75">
        <v>3.945877</v>
      </c>
      <c r="G28" s="75">
        <f>1.9729385</f>
        <v>1.9729385</v>
      </c>
      <c r="H28" s="75">
        <v>6.53143032</v>
      </c>
      <c r="I28" s="75">
        <v>3.26571516</v>
      </c>
      <c r="J28" s="76">
        <f>+K28/0.5</f>
        <v>5.2</v>
      </c>
      <c r="K28" s="76">
        <v>2.6</v>
      </c>
      <c r="L28" s="76">
        <v>5.432</v>
      </c>
      <c r="M28" s="76">
        <v>2.716</v>
      </c>
      <c r="N28" s="76">
        <v>5.442</v>
      </c>
      <c r="O28" s="76">
        <v>2.721</v>
      </c>
      <c r="P28" s="76">
        <f>3.574693-0.271072+0.593+0.0416-0.4-0.042</f>
        <v>3.496221</v>
      </c>
      <c r="Q28" s="76">
        <f>1.787346-0.271072+0.275+0.0416-0.2-0.042</f>
        <v>1.5908740000000001</v>
      </c>
      <c r="R28" s="76">
        <f>SUM(D28+F28+H28+J28+L28+N28+P28)</f>
        <v>30.31860032</v>
      </c>
      <c r="S28" s="76">
        <f>SUM(E28+G28+I28+K28+M28+O28+Q28)</f>
        <v>15.13759966</v>
      </c>
      <c r="T28" s="52"/>
    </row>
    <row r="29" spans="1:19" ht="56.25">
      <c r="A29" s="88" t="s">
        <v>8</v>
      </c>
      <c r="B29" s="88" t="s">
        <v>71</v>
      </c>
      <c r="C29" s="6" t="s">
        <v>34</v>
      </c>
      <c r="D29" s="75">
        <f>+E29</f>
        <v>0.004357</v>
      </c>
      <c r="E29" s="75">
        <v>0.004357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f>+Q29</f>
        <v>0</v>
      </c>
      <c r="Q29" s="76">
        <v>0</v>
      </c>
      <c r="R29" s="76">
        <f aca="true" t="shared" si="6" ref="R29:S32">+P29+N29+L29+J29+H29+F29+D29</f>
        <v>0.004357</v>
      </c>
      <c r="S29" s="76">
        <f t="shared" si="6"/>
        <v>0.004357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7" ref="E30:P30">SUM(E31:E32)</f>
        <v>0</v>
      </c>
      <c r="F30" s="75">
        <f t="shared" si="7"/>
        <v>2.9090457499999998</v>
      </c>
      <c r="G30" s="75">
        <f t="shared" si="7"/>
        <v>0.465571</v>
      </c>
      <c r="H30" s="75">
        <f t="shared" si="7"/>
        <v>5.552014000000001</v>
      </c>
      <c r="I30" s="75">
        <f>SUM(I31:I32)+0.001</f>
        <v>1.0225399999999998</v>
      </c>
      <c r="J30" s="76">
        <f t="shared" si="7"/>
        <v>4.889705</v>
      </c>
      <c r="K30" s="76">
        <f t="shared" si="7"/>
        <v>1.037672</v>
      </c>
      <c r="L30" s="76">
        <f t="shared" si="7"/>
        <v>5.348</v>
      </c>
      <c r="M30" s="76">
        <f>SUM(M31:M32)</f>
        <v>1.134102</v>
      </c>
      <c r="N30" s="76">
        <f t="shared" si="7"/>
        <v>6.462</v>
      </c>
      <c r="O30" s="76">
        <f>SUM(O31:O32)</f>
        <v>1.370606</v>
      </c>
      <c r="P30" s="76">
        <f t="shared" si="7"/>
        <v>8.907235</v>
      </c>
      <c r="Q30" s="76">
        <f>SUM(Q31:Q32)</f>
        <v>2.197509</v>
      </c>
      <c r="R30" s="76">
        <f t="shared" si="6"/>
        <v>34.06799975</v>
      </c>
      <c r="S30" s="76">
        <f t="shared" si="6"/>
        <v>7.227999999999999</v>
      </c>
      <c r="T30" s="52"/>
      <c r="U30" s="7"/>
    </row>
    <row r="31" spans="1:20" s="4" customFormat="1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1.011</v>
      </c>
      <c r="I31" s="75">
        <v>0.299</v>
      </c>
      <c r="J31" s="76">
        <v>1.876351</v>
      </c>
      <c r="K31" s="76">
        <v>0.5554</v>
      </c>
      <c r="L31" s="76">
        <v>2.051606</v>
      </c>
      <c r="M31" s="76">
        <v>0.607275</v>
      </c>
      <c r="N31" s="76">
        <v>2.479292</v>
      </c>
      <c r="O31" s="76">
        <v>0.73387</v>
      </c>
      <c r="P31" s="76">
        <v>5.649751</v>
      </c>
      <c r="Q31" s="76">
        <v>1.671455</v>
      </c>
      <c r="R31" s="76">
        <f t="shared" si="6"/>
        <v>13.067999999999998</v>
      </c>
      <c r="S31" s="76">
        <f t="shared" si="6"/>
        <v>3.867</v>
      </c>
      <c r="T31" s="48"/>
    </row>
    <row r="32" spans="1:20" s="4" customFormat="1" ht="22.5">
      <c r="A32" s="88" t="s">
        <v>10</v>
      </c>
      <c r="B32" s="88"/>
      <c r="C32" s="6" t="s">
        <v>37</v>
      </c>
      <c r="D32" s="75"/>
      <c r="E32" s="75"/>
      <c r="F32" s="75">
        <f>2.90981875-0.000773</f>
        <v>2.9090457499999998</v>
      </c>
      <c r="G32" s="75">
        <v>0.465571</v>
      </c>
      <c r="H32" s="75">
        <f>4.541+0.000014</f>
        <v>4.5410140000000006</v>
      </c>
      <c r="I32" s="75">
        <f>0.723-0.00046</f>
        <v>0.72254</v>
      </c>
      <c r="J32" s="76">
        <v>3.013354</v>
      </c>
      <c r="K32" s="76">
        <v>0.482272</v>
      </c>
      <c r="L32" s="76">
        <v>3.296394</v>
      </c>
      <c r="M32" s="76">
        <v>0.526827</v>
      </c>
      <c r="N32" s="76">
        <v>3.982708</v>
      </c>
      <c r="O32" s="76">
        <v>0.636736</v>
      </c>
      <c r="P32" s="76">
        <v>3.257484</v>
      </c>
      <c r="Q32" s="76">
        <v>0.526054</v>
      </c>
      <c r="R32" s="76">
        <f t="shared" si="6"/>
        <v>20.99999975</v>
      </c>
      <c r="S32" s="76">
        <f t="shared" si="6"/>
        <v>3.3600000000000003</v>
      </c>
      <c r="T32" s="48"/>
    </row>
    <row r="33" spans="1:19" s="4" customFormat="1" ht="12.75">
      <c r="A33" s="88"/>
      <c r="B33" s="88"/>
      <c r="C33" s="37" t="s">
        <v>53</v>
      </c>
      <c r="D33" s="75">
        <v>0</v>
      </c>
      <c r="E33" s="75">
        <v>0</v>
      </c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>
        <v>0</v>
      </c>
      <c r="R33" s="76"/>
      <c r="S33" s="76">
        <f>+Q33+O33+M33+K33+I33+G33+E33</f>
        <v>0</v>
      </c>
    </row>
    <row r="34" spans="1:19" s="3" customFormat="1" ht="12.75">
      <c r="A34" s="89"/>
      <c r="B34" s="89"/>
      <c r="C34" s="38" t="s">
        <v>4</v>
      </c>
      <c r="D34" s="75">
        <f>SUM(D33+D30+D29+D28+D27+D26+D25+D24+D23+D22+D21+D20+D19+D18+D15+D12+D11+D10+D9+D8)</f>
        <v>33.42736509999999</v>
      </c>
      <c r="E34" s="75">
        <f>SUM(E33+E30+E29+E28+E27+E26+E25+E24+E23+E22+E21+E20+E19+E18+E15+E12+E11+E10+E9+E8)</f>
        <v>17.773236049999998</v>
      </c>
      <c r="F34" s="75">
        <f>SUM(F30+F29+F28+F27+F26+F25+F24+F23+F22+F21+F20+F19+F18+F15+F12+F11+F10+F9+F8)</f>
        <v>43.73933235</v>
      </c>
      <c r="G34" s="75">
        <f>SUM(G30+G29+G28+G27+G26+G25+G24+G23+G22+G21+G20+G19+G18+G15+G12+G11+G10+G9+G8)</f>
        <v>13.301049059999999</v>
      </c>
      <c r="H34" s="75">
        <f>SUM(H30+H29+H28+H27+H26+H25+H24+H23+H22+H21+H20+H19+H18+H15+H12+H11+H10+H9+H8)</f>
        <v>56.62599992</v>
      </c>
      <c r="I34" s="75">
        <f>SUM(I33+I30+I29+I28+I27+I26+I25+I24+I23+I22+I21+I20+I19+I18+I15+I12+I11+I10+I9+I8)</f>
        <v>18.154125460000003</v>
      </c>
      <c r="J34" s="77">
        <f aca="true" t="shared" si="8" ref="J34:O34">SUM(J30+J29+J28+J27+J26+J25+J24+J23+J22+J21+J20+J19+J18+J15+J12+J11+J10+J9+J8)</f>
        <v>58.61931833120674</v>
      </c>
      <c r="K34" s="77">
        <f t="shared" si="8"/>
        <v>17.936581999999998</v>
      </c>
      <c r="L34" s="77">
        <f t="shared" si="8"/>
        <v>56.442307</v>
      </c>
      <c r="M34" s="77">
        <f t="shared" si="8"/>
        <v>17.32</v>
      </c>
      <c r="N34" s="77">
        <f t="shared" si="8"/>
        <v>58.8545</v>
      </c>
      <c r="O34" s="77">
        <f t="shared" si="8"/>
        <v>17.709839</v>
      </c>
      <c r="P34" s="77">
        <f>SUM(P30+P29+P28+P27+P26+P25+P24+P23+P22+P21+P20+P19+P18+P15+P12+P11+P10+P9+P8)</f>
        <v>59.467285000000004</v>
      </c>
      <c r="Q34" s="77">
        <f>+Q30+Q29+Q28+Q27+Q26+Q25+Q24+Q23+Q22+Q21+Q20+Q19+Q18+Q15+Q12+Q11+Q10+Q9+Q8+Q33</f>
        <v>16.475117</v>
      </c>
      <c r="R34" s="77">
        <f>SUM(D34+F34+H34+J34+L34+N34+P34)</f>
        <v>367.1761077012067</v>
      </c>
      <c r="S34" s="77">
        <f>SUM(E34+G34+I34+K34+M34+O34+Q34)</f>
        <v>118.66994857</v>
      </c>
    </row>
    <row r="35" spans="1:19" s="5" customFormat="1" ht="12.75">
      <c r="A35" s="34"/>
      <c r="B35" s="34"/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53"/>
      <c r="S35" s="53"/>
    </row>
    <row r="36" spans="1:2" ht="12.75">
      <c r="A36" s="47" t="s">
        <v>45</v>
      </c>
      <c r="B36" s="35"/>
    </row>
    <row r="37" spans="1:19" s="4" customFormat="1" ht="12.75">
      <c r="A37" s="36"/>
      <c r="B37" s="36"/>
      <c r="C37" s="30"/>
      <c r="E37" s="5"/>
      <c r="G37" s="48"/>
      <c r="I37" s="5"/>
      <c r="K37" s="5"/>
      <c r="M37" s="5"/>
      <c r="O37" s="5"/>
      <c r="P37" s="48"/>
      <c r="Q37" s="5"/>
      <c r="S37" s="5"/>
    </row>
    <row r="38" spans="7:19" ht="12.75">
      <c r="G38" s="49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4:17" ht="12.75">
      <c r="D39" s="51"/>
      <c r="I39" s="48"/>
      <c r="J39" s="48"/>
      <c r="Q39" s="48">
        <f>+-G38</f>
        <v>0</v>
      </c>
    </row>
    <row r="40" spans="4:10" ht="12.75">
      <c r="D40" s="51"/>
      <c r="J40" s="48"/>
    </row>
    <row r="41" ht="12.75">
      <c r="D41" s="51"/>
    </row>
    <row r="42" ht="12.75">
      <c r="D42" s="51"/>
    </row>
    <row r="43" ht="12.75">
      <c r="D43" s="51"/>
    </row>
    <row r="44" ht="12.75">
      <c r="D44" s="51"/>
    </row>
    <row r="45" ht="12.75">
      <c r="D45" s="51"/>
    </row>
    <row r="46" ht="12.75">
      <c r="D46" s="51"/>
    </row>
    <row r="47" ht="12.75">
      <c r="D47" s="51"/>
    </row>
    <row r="48" ht="12.75">
      <c r="D48" s="51"/>
    </row>
    <row r="49" ht="12.75">
      <c r="D49" s="51"/>
    </row>
    <row r="50" ht="12.75">
      <c r="D50" s="51"/>
    </row>
    <row r="51" ht="12.75">
      <c r="D51" s="51"/>
    </row>
    <row r="52" ht="12.75">
      <c r="D52" s="51"/>
    </row>
    <row r="53" ht="12.75">
      <c r="D53" s="51"/>
    </row>
    <row r="54" ht="12.75">
      <c r="D54" s="51"/>
    </row>
    <row r="55" ht="12.75">
      <c r="D55" s="51"/>
    </row>
    <row r="56" ht="12.75">
      <c r="D56" s="51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9" r:id="rId1"/>
  <headerFooter alignWithMargins="0">
    <oddHeader>&amp;CPSR 2000-2006</oddHeader>
    <oddFooter>&amp;L&amp;P
&amp;N&amp;C&amp;"Arial Narrow,Normale"&amp;10&amp;F&amp;R&amp;A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V42"/>
  <sheetViews>
    <sheetView showGridLines="0" showZeros="0" workbookViewId="0" topLeftCell="A5">
      <pane xSplit="2" ySplit="3" topLeftCell="J8" activePane="bottomRight" state="frozen"/>
      <selection pane="topLeft" activeCell="P28" sqref="P28"/>
      <selection pane="topRight" activeCell="P28" sqref="P28"/>
      <selection pane="bottomLeft" activeCell="P28" sqref="P28"/>
      <selection pane="bottomRight" activeCell="P28" sqref="P28"/>
    </sheetView>
  </sheetViews>
  <sheetFormatPr defaultColWidth="11.421875" defaultRowHeight="12"/>
  <cols>
    <col min="1" max="1" width="8.00390625" style="9" customWidth="1"/>
    <col min="2" max="2" width="6.8515625" style="2" customWidth="1"/>
    <col min="3" max="3" width="30.00390625" style="4" customWidth="1"/>
    <col min="4" max="5" width="11.7109375" style="17" customWidth="1"/>
    <col min="6" max="6" width="11.7109375" style="4" customWidth="1"/>
    <col min="7" max="7" width="11.7109375" style="10" customWidth="1"/>
    <col min="8" max="19" width="11.7109375" style="4" customWidth="1"/>
    <col min="20" max="20" width="11.57421875" style="4" customWidth="1"/>
    <col min="21" max="16384" width="9.140625" style="4" customWidth="1"/>
  </cols>
  <sheetData>
    <row r="1" spans="1:2" ht="12.75">
      <c r="A1" s="41" t="s">
        <v>46</v>
      </c>
      <c r="B1" s="23"/>
    </row>
    <row r="2" spans="1:2" ht="12.75">
      <c r="A2" s="41"/>
      <c r="B2" s="23"/>
    </row>
    <row r="3" spans="1:2" ht="12.75">
      <c r="A3" s="40" t="s">
        <v>48</v>
      </c>
      <c r="B3" s="33"/>
    </row>
    <row r="5" spans="1:19" s="22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9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38.25">
      <c r="A7" s="86" t="s">
        <v>74</v>
      </c>
      <c r="B7" s="86" t="s">
        <v>76</v>
      </c>
      <c r="C7" s="87"/>
      <c r="D7" s="16" t="s">
        <v>41</v>
      </c>
      <c r="E7" s="14" t="s">
        <v>3</v>
      </c>
      <c r="F7" s="16" t="s">
        <v>41</v>
      </c>
      <c r="G7" s="14" t="s">
        <v>3</v>
      </c>
      <c r="H7" s="16" t="s">
        <v>41</v>
      </c>
      <c r="I7" s="14" t="s">
        <v>3</v>
      </c>
      <c r="J7" s="92" t="s">
        <v>41</v>
      </c>
      <c r="K7" s="90" t="s">
        <v>3</v>
      </c>
      <c r="L7" s="92" t="s">
        <v>41</v>
      </c>
      <c r="M7" s="90" t="s">
        <v>3</v>
      </c>
      <c r="N7" s="92" t="s">
        <v>41</v>
      </c>
      <c r="O7" s="90" t="s">
        <v>3</v>
      </c>
      <c r="P7" s="92" t="s">
        <v>41</v>
      </c>
      <c r="Q7" s="90" t="s">
        <v>3</v>
      </c>
      <c r="R7" s="92" t="s">
        <v>41</v>
      </c>
      <c r="S7" s="90" t="s">
        <v>3</v>
      </c>
    </row>
    <row r="8" spans="1:20" ht="22.5">
      <c r="A8" s="88">
        <v>1</v>
      </c>
      <c r="B8" s="88" t="s">
        <v>56</v>
      </c>
      <c r="C8" s="6" t="s">
        <v>14</v>
      </c>
      <c r="D8" s="75">
        <f>+E8</f>
        <v>0.117857</v>
      </c>
      <c r="E8" s="75">
        <v>0.117857</v>
      </c>
      <c r="F8" s="75">
        <f>2.033958</f>
        <v>2.033958</v>
      </c>
      <c r="G8" s="75">
        <f>0.67791819</f>
        <v>0.67791819</v>
      </c>
      <c r="H8" s="75">
        <v>2.7702285</v>
      </c>
      <c r="I8" s="75">
        <v>0.92331716</v>
      </c>
      <c r="J8" s="76">
        <f>+'1) costi totali + UE'!K8+'3) costi totali +Bolzano'!K8+'4) costi totali +Stato'!K8-0.000001</f>
        <v>2.750999</v>
      </c>
      <c r="K8" s="76">
        <f>+'1) costi totali + UE'!K8</f>
        <v>0.917</v>
      </c>
      <c r="L8" s="76">
        <f>+'1) costi totali + UE'!M8+'3) costi totali +Bolzano'!M8+'4) costi totali +Stato'!M8</f>
        <v>4.007065</v>
      </c>
      <c r="M8" s="76">
        <f>+'1) costi totali + UE'!M8</f>
        <v>1.335565</v>
      </c>
      <c r="N8" s="76">
        <f>+'1) costi totali + UE'!O8+'3) costi totali +Bolzano'!O8+'4) costi totali +Stato'!O8</f>
        <v>3.9865500000000003</v>
      </c>
      <c r="O8" s="76">
        <f>+'1) costi totali + UE'!O8</f>
        <v>1.32885</v>
      </c>
      <c r="P8" s="76">
        <f>+'1) costi totali + UE'!Q8+'3) costi totali +Bolzano'!Q8+'4) costi totali +Stato'!Q8</f>
        <v>4.133342</v>
      </c>
      <c r="Q8" s="76">
        <f>+'1) costi totali + UE'!Q8</f>
        <v>1.299493</v>
      </c>
      <c r="R8" s="76">
        <f aca="true" t="shared" si="0" ref="R8:S11">+P8+N8+L8+J8+H8+F8+D8</f>
        <v>19.7999995</v>
      </c>
      <c r="S8" s="76">
        <f t="shared" si="0"/>
        <v>6.600000349999999</v>
      </c>
      <c r="T8" s="48"/>
    </row>
    <row r="9" spans="1:20" ht="12.75">
      <c r="A9" s="88">
        <v>2</v>
      </c>
      <c r="B9" s="88" t="s">
        <v>57</v>
      </c>
      <c r="C9" s="6" t="s">
        <v>15</v>
      </c>
      <c r="D9" s="75">
        <f>+E9</f>
        <v>0.03125</v>
      </c>
      <c r="E9" s="75">
        <v>0.03125</v>
      </c>
      <c r="F9" s="75">
        <v>0.57499991</v>
      </c>
      <c r="G9" s="75">
        <v>0.28749995</v>
      </c>
      <c r="H9" s="75">
        <v>1.4975</v>
      </c>
      <c r="I9" s="75">
        <v>0.74875</v>
      </c>
      <c r="J9" s="76">
        <f>+'1) costi totali + UE'!K9+'3) costi totali +Bolzano'!K9+'4) costi totali +Stato'!K9</f>
        <v>1.12</v>
      </c>
      <c r="K9" s="76">
        <f>+'1) costi totali + UE'!K9</f>
        <v>0.56</v>
      </c>
      <c r="L9" s="76">
        <f>+'1) costi totali + UE'!M9+'3) costi totali +Bolzano'!M9+'4) costi totali +Stato'!M9</f>
        <v>0.8853070000000001</v>
      </c>
      <c r="M9" s="76">
        <f>+'1) costi totali + UE'!M9</f>
        <v>0.443</v>
      </c>
      <c r="N9" s="76">
        <f>+'1) costi totali + UE'!O9+'3) costi totali +Bolzano'!O9+'4) costi totali +Stato'!O9</f>
        <v>0.887</v>
      </c>
      <c r="O9" s="76">
        <f>+'1) costi totali + UE'!O9</f>
        <v>0.443</v>
      </c>
      <c r="P9" s="76">
        <f>+'1) costi totali + UE'!Q9+'3) costi totali +Bolzano'!Q9+'4) costi totali +Stato'!Q9</f>
        <v>0.8559429999999999</v>
      </c>
      <c r="Q9" s="76">
        <f>+'1) costi totali + UE'!Q9</f>
        <v>0.4125</v>
      </c>
      <c r="R9" s="76">
        <f t="shared" si="0"/>
        <v>5.85199991</v>
      </c>
      <c r="S9" s="76">
        <f t="shared" si="0"/>
        <v>2.92599995</v>
      </c>
      <c r="T9" s="48"/>
    </row>
    <row r="10" spans="1:19" ht="12.75">
      <c r="A10" s="88">
        <v>3</v>
      </c>
      <c r="B10" s="88" t="s">
        <v>58</v>
      </c>
      <c r="C10" s="6" t="s">
        <v>16</v>
      </c>
      <c r="D10" s="75">
        <f>+E10</f>
        <v>0.006696</v>
      </c>
      <c r="E10" s="75">
        <v>0.006696</v>
      </c>
      <c r="F10" s="75">
        <v>0</v>
      </c>
      <c r="G10" s="75">
        <v>0</v>
      </c>
      <c r="H10" s="75"/>
      <c r="I10" s="75">
        <v>0</v>
      </c>
      <c r="J10" s="76">
        <v>0</v>
      </c>
      <c r="K10" s="76">
        <f>+'1) costi totali + UE'!K10</f>
        <v>0</v>
      </c>
      <c r="L10" s="76">
        <v>0</v>
      </c>
      <c r="M10" s="76">
        <f>+'1) costi totali + UE'!M10</f>
        <v>0</v>
      </c>
      <c r="N10" s="76">
        <v>0</v>
      </c>
      <c r="O10" s="76">
        <f>+'1) costi totali + UE'!O10</f>
        <v>0</v>
      </c>
      <c r="P10" s="76">
        <f>+Q10</f>
        <v>0</v>
      </c>
      <c r="Q10" s="76">
        <f>+'1) costi totali + UE'!Q10</f>
        <v>0</v>
      </c>
      <c r="R10" s="76">
        <f t="shared" si="0"/>
        <v>0.006696</v>
      </c>
      <c r="S10" s="76">
        <f t="shared" si="0"/>
        <v>0.006696</v>
      </c>
    </row>
    <row r="11" spans="1:19" ht="12.75">
      <c r="A11" s="88">
        <v>4</v>
      </c>
      <c r="B11" s="88" t="s">
        <v>59</v>
      </c>
      <c r="C11" s="6" t="s">
        <v>17</v>
      </c>
      <c r="D11" s="75">
        <f>+E11</f>
        <v>0.001786</v>
      </c>
      <c r="E11" s="75">
        <v>0.001786</v>
      </c>
      <c r="F11" s="75">
        <v>0</v>
      </c>
      <c r="G11" s="75">
        <v>0</v>
      </c>
      <c r="H11" s="75">
        <v>0</v>
      </c>
      <c r="I11" s="75">
        <v>0</v>
      </c>
      <c r="J11" s="76">
        <v>0</v>
      </c>
      <c r="K11" s="76">
        <f>+'1) costi totali + UE'!K11</f>
        <v>0</v>
      </c>
      <c r="L11" s="76">
        <v>0</v>
      </c>
      <c r="M11" s="76">
        <f>+'1) costi totali + UE'!M11</f>
        <v>0</v>
      </c>
      <c r="N11" s="76">
        <v>0</v>
      </c>
      <c r="O11" s="76">
        <f>+'1) costi totali + UE'!O11</f>
        <v>0</v>
      </c>
      <c r="P11" s="76">
        <f>+Q11</f>
        <v>0</v>
      </c>
      <c r="Q11" s="76">
        <f>+'1) costi totali + UE'!Q11</f>
        <v>0</v>
      </c>
      <c r="R11" s="76">
        <f t="shared" si="0"/>
        <v>0.001786</v>
      </c>
      <c r="S11" s="76">
        <f t="shared" si="0"/>
        <v>0.001786</v>
      </c>
    </row>
    <row r="12" spans="1:20" ht="45">
      <c r="A12" s="88" t="s">
        <v>21</v>
      </c>
      <c r="B12" s="88" t="s">
        <v>72</v>
      </c>
      <c r="C12" s="6" t="s">
        <v>39</v>
      </c>
      <c r="D12" s="75">
        <f aca="true" t="shared" si="1" ref="D12:I12">SUM(D13:D14)</f>
        <v>0.040179</v>
      </c>
      <c r="E12" s="75">
        <f t="shared" si="1"/>
        <v>0.040179</v>
      </c>
      <c r="F12" s="75">
        <f t="shared" si="1"/>
        <v>0.77304726</v>
      </c>
      <c r="G12" s="75">
        <f t="shared" si="1"/>
        <v>0.25765665</v>
      </c>
      <c r="H12" s="75">
        <f t="shared" si="1"/>
        <v>0.5518850000000001</v>
      </c>
      <c r="I12" s="75">
        <f t="shared" si="1"/>
        <v>0.18319147</v>
      </c>
      <c r="J12" s="76">
        <f>+'1) costi totali + UE'!K12+'3) costi totali +Bolzano'!K12+'4) costi totali +Stato'!K12</f>
        <v>1.2939999999999998</v>
      </c>
      <c r="K12" s="76">
        <f>+'1) costi totali + UE'!K12</f>
        <v>0.423</v>
      </c>
      <c r="L12" s="76">
        <f>+'1) costi totali + UE'!M12+'3) costi totali +Bolzano'!M12+'4) costi totali +Stato'!M12</f>
        <v>1.7339</v>
      </c>
      <c r="M12" s="76">
        <f>+'1) costi totali + UE'!M12</f>
        <v>0.5630000000000001</v>
      </c>
      <c r="N12" s="76">
        <f>+'1) costi totali + UE'!O12+'3) costi totali +Bolzano'!O12+'4) costi totali +Stato'!O12</f>
        <v>1.64115</v>
      </c>
      <c r="O12" s="76">
        <f>+'1) costi totali + UE'!O12</f>
        <v>0.53205</v>
      </c>
      <c r="P12" s="76">
        <f>+'1) costi totali + UE'!Q12+'3) costi totali +Bolzano'!Q12+'4) costi totali +Stato'!Q12</f>
        <v>3.2178370000000003</v>
      </c>
      <c r="Q12" s="76">
        <f>+'1) costi totali + UE'!Q12</f>
        <v>0.994921</v>
      </c>
      <c r="R12" s="76">
        <f>SUM(P12+N12+L12+J12+H12+F12+D12)</f>
        <v>9.25199826</v>
      </c>
      <c r="S12" s="76">
        <f>SUM(Q12+O12+M12+K12+I12+G12+E12)</f>
        <v>2.9939981200000005</v>
      </c>
      <c r="T12" s="48"/>
    </row>
    <row r="13" spans="1:20" ht="12.75">
      <c r="A13" s="88" t="s">
        <v>22</v>
      </c>
      <c r="B13" s="88"/>
      <c r="C13" s="6" t="s">
        <v>24</v>
      </c>
      <c r="D13" s="75">
        <f>+E13</f>
        <v>0.040179</v>
      </c>
      <c r="E13" s="75">
        <v>0.040179</v>
      </c>
      <c r="F13" s="75">
        <v>0.77304726</v>
      </c>
      <c r="G13" s="75">
        <v>0.25765665</v>
      </c>
      <c r="H13" s="75">
        <v>0.515885</v>
      </c>
      <c r="I13" s="75">
        <f>0.172+0.00019147</f>
        <v>0.17219146999999999</v>
      </c>
      <c r="J13" s="76">
        <f>+'1) costi totali + UE'!K13+'3) costi totali +Bolzano'!K13+'4) costi totali +Stato'!K13+0.00025</f>
        <v>0.8942499999999999</v>
      </c>
      <c r="K13" s="76">
        <f>+'1) costi totali + UE'!K13</f>
        <v>0.298</v>
      </c>
      <c r="L13" s="76">
        <f>+'1) costi totali + UE'!M13+'3) costi totali +Bolzano'!M13+'4) costi totali +Stato'!M13</f>
        <v>1.0139</v>
      </c>
      <c r="M13" s="76">
        <f>+'1) costi totali + UE'!M13</f>
        <v>0.338</v>
      </c>
      <c r="N13" s="76">
        <f>+'1) costi totali + UE'!O13+'3) costi totali +Bolzano'!O13+'4) costi totali +Stato'!O13</f>
        <v>0.9211499999999999</v>
      </c>
      <c r="O13" s="76">
        <f>+'1) costi totali + UE'!O13</f>
        <v>0.30705</v>
      </c>
      <c r="P13" s="76">
        <f>+'1) costi totali + UE'!Q13+'3) costi totali +Bolzano'!Q13+'4) costi totali +Stato'!Q13</f>
        <v>0.773587</v>
      </c>
      <c r="Q13" s="76">
        <f>+'1) costi totali + UE'!Q13</f>
        <v>0.23092100000000002</v>
      </c>
      <c r="R13" s="76">
        <f>SUM(P13+N13+L13+J13+H13+F13+D13)</f>
        <v>4.93199826</v>
      </c>
      <c r="S13" s="76">
        <f>SUM(Q13+O13+M13+K13+I13+G13+E13)</f>
        <v>1.64399812</v>
      </c>
      <c r="T13" s="48"/>
    </row>
    <row r="14" spans="1:20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0.036</v>
      </c>
      <c r="I14" s="75">
        <v>0.011</v>
      </c>
      <c r="J14" s="76">
        <f>+'1) costi totali + UE'!K14+'3) costi totali +Bolzano'!K14+'4) costi totali +Stato'!K14-0.00025</f>
        <v>0.39975000000000005</v>
      </c>
      <c r="K14" s="76">
        <f>+'1) costi totali + UE'!K14</f>
        <v>0.125</v>
      </c>
      <c r="L14" s="76">
        <f>+'1) costi totali + UE'!M14+'3) costi totali +Bolzano'!M14+'4) costi totali +Stato'!M14</f>
        <v>0.72</v>
      </c>
      <c r="M14" s="76">
        <f>+'1) costi totali + UE'!M14</f>
        <v>0.225</v>
      </c>
      <c r="N14" s="76">
        <f>+'1) costi totali + UE'!O14+'3) costi totali +Bolzano'!O14+'4) costi totali +Stato'!O14</f>
        <v>0.72</v>
      </c>
      <c r="O14" s="76">
        <f>+'1) costi totali + UE'!O14</f>
        <v>0.225</v>
      </c>
      <c r="P14" s="76">
        <f>+'1) costi totali + UE'!Q14+'3) costi totali +Bolzano'!Q14+'4) costi totali +Stato'!Q14</f>
        <v>2.4442500000000003</v>
      </c>
      <c r="Q14" s="76">
        <f>+'1) costi totali + UE'!Q14</f>
        <v>0.764</v>
      </c>
      <c r="R14" s="76">
        <f>SUM(P14+N14+L14+J14+H14+F14)</f>
        <v>4.319999999999999</v>
      </c>
      <c r="S14" s="76">
        <f>SUM(Q14+O14+M14+K14+I14+G14)</f>
        <v>1.3499999999999999</v>
      </c>
      <c r="T14" s="56"/>
    </row>
    <row r="15" spans="1:20" ht="45">
      <c r="A15" s="88" t="s">
        <v>11</v>
      </c>
      <c r="B15" s="88" t="s">
        <v>60</v>
      </c>
      <c r="C15" s="6" t="s">
        <v>18</v>
      </c>
      <c r="D15" s="75">
        <f>SUM(D16:D17)</f>
        <v>0.1455</v>
      </c>
      <c r="E15" s="75">
        <f>SUM(E16:E17)</f>
        <v>0.1455</v>
      </c>
      <c r="F15" s="75">
        <f>SUM(F16:F17)-0.001</f>
        <v>0.067</v>
      </c>
      <c r="G15" s="75">
        <f>SUM(G16:G17)</f>
        <v>0.023</v>
      </c>
      <c r="H15" s="75">
        <f>SUM(H16:H17)</f>
        <v>0.458</v>
      </c>
      <c r="I15" s="75">
        <f>SUM(I16:I17)</f>
        <v>0.16899999999999998</v>
      </c>
      <c r="J15" s="76">
        <f>+'1) costi totali + UE'!K15+'3) costi totali +Bolzano'!K15+'4) costi totali +Stato'!K15-0.000021</f>
        <v>0.37886200000000003</v>
      </c>
      <c r="K15" s="76">
        <f>+'1) costi totali + UE'!K15</f>
        <v>0.13655</v>
      </c>
      <c r="L15" s="76">
        <f>+'1) costi totali + UE'!M15+'3) costi totali +Bolzano'!M15+'4) costi totali +Stato'!M15-0.0000533</f>
        <v>0.430969</v>
      </c>
      <c r="M15" s="76">
        <f>+'1) costi totali + UE'!M15</f>
        <v>0.153333</v>
      </c>
      <c r="N15" s="76">
        <f>+'1) costi totali + UE'!O15+'3) costi totali +Bolzano'!O15+'4) costi totali +Stato'!O15</f>
        <v>0.4312103</v>
      </c>
      <c r="O15" s="76">
        <f>+'1) costi totali + UE'!O15</f>
        <v>0.153333</v>
      </c>
      <c r="P15" s="76">
        <f>+'1) costi totali + UE'!Q15+'3) costi totali +Bolzano'!Q15+'4) costi totali +Stato'!Q15</f>
        <v>0.688709</v>
      </c>
      <c r="Q15" s="76">
        <f>+'1) costi totali + UE'!Q15</f>
        <v>0.13953400000000002</v>
      </c>
      <c r="R15" s="76">
        <f>SUM(P15+N15+L15+J15+H15+F15+D15)</f>
        <v>2.6002503000000003</v>
      </c>
      <c r="S15" s="76">
        <f>SUM(Q15+O15+M15+K15+I15+G15+E15)</f>
        <v>0.9202499999999999</v>
      </c>
      <c r="T15" s="48"/>
    </row>
    <row r="16" spans="1:20" ht="45">
      <c r="A16" s="88" t="s">
        <v>12</v>
      </c>
      <c r="B16" s="88"/>
      <c r="C16" s="6" t="s">
        <v>19</v>
      </c>
      <c r="D16" s="75">
        <f>+E16</f>
        <v>0.1455</v>
      </c>
      <c r="E16" s="75">
        <v>0.1455</v>
      </c>
      <c r="F16" s="75">
        <v>0.032</v>
      </c>
      <c r="G16" s="75">
        <v>0.012</v>
      </c>
      <c r="H16" s="75">
        <v>0.402</v>
      </c>
      <c r="I16" s="75">
        <v>0.151</v>
      </c>
      <c r="J16" s="76">
        <f>+'1) costi totali + UE'!K16+'3) costi totali +Bolzano'!K16+'4) costi totali +Stato'!K16</f>
        <v>0.286083</v>
      </c>
      <c r="K16" s="76">
        <f>+'1) costi totali + UE'!K16</f>
        <v>0.10755</v>
      </c>
      <c r="L16" s="76">
        <f>+'1) costi totali + UE'!M16+'3) costi totali +Bolzano'!M16+'4) costi totali +Stato'!M16</f>
        <v>0.284356</v>
      </c>
      <c r="M16" s="76">
        <f>+'1) costi totali + UE'!M16</f>
        <v>0.1075</v>
      </c>
      <c r="N16" s="76">
        <f>+'1) costi totali + UE'!O16+'3) costi totali +Bolzano'!O16+'4) costi totali +Stato'!O16+0.001375</f>
        <v>0.285994</v>
      </c>
      <c r="O16" s="76">
        <f>+'1) costi totali + UE'!O16</f>
        <v>0.1075</v>
      </c>
      <c r="P16" s="76">
        <f>+'1) costi totali + UE'!Q16+'3) costi totali +Bolzano'!Q16+'4) costi totali +Stato'!Q16</f>
        <v>0.286067</v>
      </c>
      <c r="Q16" s="76">
        <f>+'1) costi totali + UE'!Q16</f>
        <v>0.013950000000000018</v>
      </c>
      <c r="R16" s="76">
        <f>SUM(P16+N16+L16+J16+H16+F16+D16)</f>
        <v>1.7220000000000002</v>
      </c>
      <c r="S16" s="76">
        <f>SUM(Q16+O16+M16+K16+I16+G16+E16)</f>
        <v>0.645</v>
      </c>
      <c r="T16" s="48"/>
    </row>
    <row r="17" spans="1:21" ht="67.5">
      <c r="A17" s="88" t="s">
        <v>13</v>
      </c>
      <c r="B17" s="88"/>
      <c r="C17" s="6" t="s">
        <v>20</v>
      </c>
      <c r="D17" s="75"/>
      <c r="E17" s="75"/>
      <c r="F17" s="75">
        <v>0.036</v>
      </c>
      <c r="G17" s="75">
        <v>0.011</v>
      </c>
      <c r="H17" s="75">
        <v>0.056</v>
      </c>
      <c r="I17" s="75">
        <v>0.018</v>
      </c>
      <c r="J17" s="76">
        <f>+'1) costi totali + UE'!K17+'3) costi totali +Bolzano'!K17+'4) costi totali +Stato'!K17</f>
        <v>0.09280000000000001</v>
      </c>
      <c r="K17" s="76">
        <f>+'1) costi totali + UE'!K17</f>
        <v>0.029</v>
      </c>
      <c r="L17" s="76">
        <f>+'1) costi totali + UE'!M17+'3) costi totali +Bolzano'!M17+'4) costi totali +Stato'!M17+0.000354</f>
        <v>0.1470203</v>
      </c>
      <c r="M17" s="76">
        <f>+'1) costi totali + UE'!M17</f>
        <v>0.045833</v>
      </c>
      <c r="N17" s="76">
        <f>+'1) costi totali + UE'!O17+'3) costi totali +Bolzano'!O17+'4) costi totali +Stato'!O17</f>
        <v>0.14659129999999998</v>
      </c>
      <c r="O17" s="76">
        <f>+'1) costi totali + UE'!O17</f>
        <v>0.045833</v>
      </c>
      <c r="P17" s="76">
        <f>+'1) costi totali + UE'!Q17+'3) costi totali +Bolzano'!Q17+'4) costi totali +Stato'!Q17+0.001196</f>
        <v>0.402838</v>
      </c>
      <c r="Q17" s="76">
        <f>+'1) costi totali + UE'!Q17</f>
        <v>0.125584</v>
      </c>
      <c r="R17" s="76">
        <f>SUM(P17+N17+L17+J17+H17+F17)</f>
        <v>0.8812496</v>
      </c>
      <c r="S17" s="76">
        <f>SUM(Q17+O17+M17+K17+I17+G17)</f>
        <v>0.27525</v>
      </c>
      <c r="T17" s="48"/>
      <c r="U17" s="48"/>
    </row>
    <row r="18" spans="1:19" ht="33.75">
      <c r="A18" s="88"/>
      <c r="B18" s="88" t="s">
        <v>61</v>
      </c>
      <c r="C18" s="6" t="s">
        <v>7</v>
      </c>
      <c r="D18" s="75">
        <f aca="true" t="shared" si="2" ref="D18:D26">+E18</f>
        <v>0.019107</v>
      </c>
      <c r="E18" s="75">
        <v>0.019107</v>
      </c>
      <c r="F18" s="75">
        <f>0.642-0.642</f>
        <v>0</v>
      </c>
      <c r="G18" s="75">
        <f>+F18/2</f>
        <v>0</v>
      </c>
      <c r="H18" s="75">
        <v>0</v>
      </c>
      <c r="I18" s="75">
        <f>+H18*0.5</f>
        <v>0</v>
      </c>
      <c r="J18" s="76">
        <v>0</v>
      </c>
      <c r="K18" s="76">
        <f>+'1) costi totali + UE'!K18</f>
        <v>0</v>
      </c>
      <c r="L18" s="76">
        <v>0</v>
      </c>
      <c r="M18" s="76">
        <f>+'1) costi totali + UE'!M18</f>
        <v>0</v>
      </c>
      <c r="N18" s="76">
        <v>0</v>
      </c>
      <c r="O18" s="76">
        <f>+'1) costi totali + UE'!O18</f>
        <v>0</v>
      </c>
      <c r="P18" s="76">
        <f>+Q18</f>
        <v>0</v>
      </c>
      <c r="Q18" s="76">
        <f>+'1) costi totali + UE'!Q18</f>
        <v>0</v>
      </c>
      <c r="R18" s="76">
        <f>+P18+N18+L18+J18+H18+F18+D18</f>
        <v>0.019107</v>
      </c>
      <c r="S18" s="76">
        <f>+Q18+O18+M18+K18+I18+G18+E18</f>
        <v>0.019107</v>
      </c>
    </row>
    <row r="19" spans="1:20" ht="33.75">
      <c r="A19" s="88">
        <v>6</v>
      </c>
      <c r="B19" s="88" t="s">
        <v>66</v>
      </c>
      <c r="C19" s="6" t="s">
        <v>25</v>
      </c>
      <c r="D19" s="75">
        <f t="shared" si="2"/>
        <v>0.160714</v>
      </c>
      <c r="E19" s="75">
        <v>0.160714</v>
      </c>
      <c r="F19" s="75">
        <v>5.56623198</v>
      </c>
      <c r="G19" s="75">
        <v>2.08733699</v>
      </c>
      <c r="H19" s="75">
        <v>5.70334593</v>
      </c>
      <c r="I19" s="75">
        <v>2.13875472</v>
      </c>
      <c r="J19" s="76">
        <f>+'1) costi totali + UE'!K19+'3) costi totali +Bolzano'!K19+'4) costi totali +Stato'!K19</f>
        <v>5.866666666666667</v>
      </c>
      <c r="K19" s="76">
        <f>+'1) costi totali + UE'!K19</f>
        <v>2.2</v>
      </c>
      <c r="L19" s="76">
        <f>+'1) costi totali + UE'!M19+'3) costi totali +Bolzano'!M19+'4) costi totali +Stato'!M19</f>
        <v>4.04</v>
      </c>
      <c r="M19" s="76">
        <f>+'1) costi totali + UE'!M19</f>
        <v>1.515</v>
      </c>
      <c r="N19" s="76">
        <f>+'1) costi totali + UE'!O19+'3) costi totali +Bolzano'!O19+'4) costi totali +Stato'!O19</f>
        <v>4.4399999999999995</v>
      </c>
      <c r="O19" s="76">
        <f>+'1) costi totali + UE'!O19</f>
        <v>1.665</v>
      </c>
      <c r="P19" s="76">
        <f>+'1) costi totali + UE'!Q19+'3) costi totali +Bolzano'!Q19+'4) costi totali +Stato'!Q19</f>
        <v>1.4890409999999998</v>
      </c>
      <c r="Q19" s="76">
        <f>+'1) costi totali + UE'!Q19</f>
        <v>0.45819400000000005</v>
      </c>
      <c r="R19" s="76">
        <f aca="true" t="shared" si="3" ref="R19:R25">+P19+N19+L19+J19+H19+F19+D19</f>
        <v>27.26599957666667</v>
      </c>
      <c r="S19" s="76">
        <f aca="true" t="shared" si="4" ref="S19:S25">+Q19+O19+M19+K19+I19+G19+E19</f>
        <v>10.22499971</v>
      </c>
      <c r="T19" s="48"/>
    </row>
    <row r="20" spans="1:19" ht="33.75">
      <c r="A20" s="88">
        <v>7</v>
      </c>
      <c r="B20" s="88" t="s">
        <v>67</v>
      </c>
      <c r="C20" s="6" t="s">
        <v>26</v>
      </c>
      <c r="D20" s="75">
        <f t="shared" si="2"/>
        <v>0.004464</v>
      </c>
      <c r="E20" s="75">
        <v>0.004464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6">
        <f>+'1) costi totali + UE'!K20</f>
        <v>0</v>
      </c>
      <c r="L20" s="76">
        <v>0</v>
      </c>
      <c r="M20" s="76">
        <f>+'1) costi totali + UE'!M20</f>
        <v>0</v>
      </c>
      <c r="N20" s="76">
        <v>0</v>
      </c>
      <c r="O20" s="76">
        <f>+'1) costi totali + UE'!O20</f>
        <v>0</v>
      </c>
      <c r="P20" s="76">
        <f>+Q20</f>
        <v>0</v>
      </c>
      <c r="Q20" s="76">
        <f>+'1) costi totali + UE'!Q20</f>
        <v>0</v>
      </c>
      <c r="R20" s="76">
        <f t="shared" si="3"/>
        <v>0.004464</v>
      </c>
      <c r="S20" s="76">
        <f t="shared" si="4"/>
        <v>0.004464</v>
      </c>
    </row>
    <row r="21" spans="1:20" ht="12.75">
      <c r="A21" s="88">
        <v>8</v>
      </c>
      <c r="B21" s="88" t="s">
        <v>62</v>
      </c>
      <c r="C21" s="6" t="s">
        <v>27</v>
      </c>
      <c r="D21" s="75">
        <f t="shared" si="2"/>
        <v>0.006696</v>
      </c>
      <c r="E21" s="75">
        <v>0.006696</v>
      </c>
      <c r="F21" s="75">
        <v>0.07499991</v>
      </c>
      <c r="G21" s="75">
        <v>0.03749989</v>
      </c>
      <c r="H21" s="75">
        <v>0.135</v>
      </c>
      <c r="I21" s="75">
        <v>0.0675</v>
      </c>
      <c r="J21" s="76">
        <f>+'1) costi totali + UE'!K21+'3) costi totali +Bolzano'!K21+'4) costi totali +Stato'!K21-0.0005</f>
        <v>0.135</v>
      </c>
      <c r="K21" s="76">
        <f>+'1) costi totali + UE'!K21</f>
        <v>0.068</v>
      </c>
      <c r="L21" s="76">
        <f>+'1) costi totali + UE'!M21+'3) costi totali +Bolzano'!M21+'4) costi totali +Stato'!M21-0.0005</f>
        <v>0.135</v>
      </c>
      <c r="M21" s="76">
        <f>+'1) costi totali + UE'!M21</f>
        <v>0.068</v>
      </c>
      <c r="N21" s="76">
        <f>+'1) costi totali + UE'!O21+'3) costi totali +Bolzano'!O21+'4) costi totali +Stato'!O21</f>
        <v>0.1355</v>
      </c>
      <c r="O21" s="76">
        <f>+'1) costi totali + UE'!O21</f>
        <v>0.068</v>
      </c>
      <c r="P21" s="76">
        <f>+'1) costi totali + UE'!Q21+'3) costi totali +Bolzano'!Q21+'4) costi totali +Stato'!Q21</f>
        <v>0.127804</v>
      </c>
      <c r="Q21" s="76">
        <f>+'1) costi totali + UE'!Q21</f>
        <v>0.059304</v>
      </c>
      <c r="R21" s="76">
        <f t="shared" si="3"/>
        <v>0.7499999100000001</v>
      </c>
      <c r="S21" s="76">
        <f t="shared" si="4"/>
        <v>0.37499988999999995</v>
      </c>
      <c r="T21" s="48"/>
    </row>
    <row r="22" spans="1:20" ht="45">
      <c r="A22" s="88">
        <v>9</v>
      </c>
      <c r="B22" s="88" t="s">
        <v>63</v>
      </c>
      <c r="C22" s="6" t="s">
        <v>28</v>
      </c>
      <c r="D22" s="75">
        <f t="shared" si="2"/>
        <v>0.005357</v>
      </c>
      <c r="E22" s="75">
        <v>0.005357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6">
        <f>+'1) costi totali + UE'!K22</f>
        <v>0</v>
      </c>
      <c r="L22" s="76">
        <v>0</v>
      </c>
      <c r="M22" s="76">
        <f>+'1) costi totali + UE'!M22</f>
        <v>0</v>
      </c>
      <c r="N22" s="76">
        <f>+'1) costi totali + UE'!O22+'3) costi totali +Bolzano'!O22+'4) costi totali +Stato'!O22</f>
        <v>0.084088</v>
      </c>
      <c r="O22" s="76">
        <f>+'1) costi totali + UE'!O22</f>
        <v>0.031</v>
      </c>
      <c r="P22" s="76">
        <f>+'1) costi totali + UE'!Q22+'3) costi totali +Bolzano'!Q22+'4) costi totali +Stato'!Q22</f>
        <v>0.17555500000000002</v>
      </c>
      <c r="Q22" s="76">
        <f>+'1) costi totali + UE'!Q22</f>
        <v>0.063643</v>
      </c>
      <c r="R22" s="76">
        <f t="shared" si="3"/>
        <v>0.265</v>
      </c>
      <c r="S22" s="76">
        <f t="shared" si="4"/>
        <v>0.1</v>
      </c>
      <c r="T22" s="56"/>
    </row>
    <row r="23" spans="1:19" ht="22.5">
      <c r="A23" s="88">
        <v>10</v>
      </c>
      <c r="B23" s="88" t="s">
        <v>68</v>
      </c>
      <c r="C23" s="6" t="s">
        <v>29</v>
      </c>
      <c r="D23" s="75">
        <f t="shared" si="2"/>
        <v>0.005357</v>
      </c>
      <c r="E23" s="75">
        <v>0.005357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6">
        <f>+'1) costi totali + UE'!K23</f>
        <v>0</v>
      </c>
      <c r="L23" s="76">
        <v>0</v>
      </c>
      <c r="M23" s="76">
        <f>+'1) costi totali + UE'!M23</f>
        <v>0</v>
      </c>
      <c r="N23" s="76">
        <v>0</v>
      </c>
      <c r="O23" s="76">
        <f>+'1) costi totali + UE'!O23</f>
        <v>0</v>
      </c>
      <c r="P23" s="76">
        <f>+Q23</f>
        <v>0</v>
      </c>
      <c r="Q23" s="76">
        <f>+'1) costi totali + UE'!Q23</f>
        <v>0</v>
      </c>
      <c r="R23" s="76">
        <f t="shared" si="3"/>
        <v>0.005357</v>
      </c>
      <c r="S23" s="76">
        <f t="shared" si="4"/>
        <v>0.005357</v>
      </c>
    </row>
    <row r="24" spans="1:20" ht="33.75">
      <c r="A24" s="88">
        <v>11</v>
      </c>
      <c r="B24" s="88" t="s">
        <v>69</v>
      </c>
      <c r="C24" s="6" t="s">
        <v>30</v>
      </c>
      <c r="D24" s="75">
        <f t="shared" si="2"/>
        <v>0.064286</v>
      </c>
      <c r="E24" s="75">
        <v>0.064286</v>
      </c>
      <c r="F24" s="75">
        <v>0</v>
      </c>
      <c r="G24" s="75">
        <v>0</v>
      </c>
      <c r="H24" s="75">
        <v>0.79808897</v>
      </c>
      <c r="I24" s="75">
        <v>0.29529291</v>
      </c>
      <c r="J24" s="76">
        <f>+'1) costi totali + UE'!K24+'3) costi totali +Bolzano'!K24+'4) costi totali +Stato'!K24</f>
        <v>1.2972972972972974</v>
      </c>
      <c r="K24" s="76">
        <f>+'1) costi totali + UE'!K24</f>
        <v>0.48</v>
      </c>
      <c r="L24" s="76">
        <f>+'1) costi totali + UE'!M24+'3) costi totali +Bolzano'!M24+'4) costi totali +Stato'!M24+0.000679</f>
        <v>1.994143</v>
      </c>
      <c r="M24" s="76">
        <f>+'1) costi totali + UE'!M24</f>
        <v>0.738</v>
      </c>
      <c r="N24" s="76">
        <f>+'1) costi totali + UE'!O24+'3) costi totali +Bolzano'!O24+'4) costi totali +Stato'!O24</f>
        <v>1.866205</v>
      </c>
      <c r="O24" s="76">
        <f>+'1) costi totali + UE'!O24</f>
        <v>0.691</v>
      </c>
      <c r="P24" s="76">
        <f>+'1) costi totali + UE'!Q24+'3) costi totali +Bolzano'!Q24+'4) costi totali +Stato'!Q24</f>
        <v>3.69998</v>
      </c>
      <c r="Q24" s="76">
        <f>+'1) costi totali + UE'!Q24</f>
        <v>1.331421</v>
      </c>
      <c r="R24" s="76">
        <f t="shared" si="3"/>
        <v>9.720000267297296</v>
      </c>
      <c r="S24" s="76">
        <f t="shared" si="4"/>
        <v>3.59999991</v>
      </c>
      <c r="T24" s="48"/>
    </row>
    <row r="25" spans="1:20" ht="22.5">
      <c r="A25" s="88">
        <v>12</v>
      </c>
      <c r="B25" s="88" t="s">
        <v>70</v>
      </c>
      <c r="C25" s="6" t="s">
        <v>31</v>
      </c>
      <c r="D25" s="75">
        <f t="shared" si="2"/>
        <v>0.108179</v>
      </c>
      <c r="E25" s="75">
        <v>0.108179</v>
      </c>
      <c r="F25" s="75">
        <v>2.20774995</v>
      </c>
      <c r="G25" s="75">
        <v>0.81642593</v>
      </c>
      <c r="H25" s="75">
        <v>1.31837815</v>
      </c>
      <c r="I25" s="75">
        <v>0.48753624</v>
      </c>
      <c r="J25" s="76">
        <f>+'1) costi totali + UE'!K25+'3) costi totali +Bolzano'!K25+'4) costi totali +Stato'!K25</f>
        <v>2.974248927038627</v>
      </c>
      <c r="K25" s="76">
        <f>+'1) costi totali + UE'!K25</f>
        <v>1.1</v>
      </c>
      <c r="L25" s="76">
        <f>+'1) costi totali + UE'!M25+'3) costi totali +Bolzano'!M25+'4) costi totali +Stato'!M25</f>
        <v>2.106171</v>
      </c>
      <c r="M25" s="76">
        <f>+'1) costi totali + UE'!M25</f>
        <v>0.779</v>
      </c>
      <c r="N25" s="76">
        <f>+'1) costi totali + UE'!O25+'3) costi totali +Bolzano'!O25+'4) costi totali +Stato'!O25</f>
        <v>2.606389</v>
      </c>
      <c r="O25" s="76">
        <f>+'1) costi totali + UE'!O25</f>
        <v>0.964</v>
      </c>
      <c r="P25" s="76">
        <f>+'1) costi totali + UE'!Q25+'3) costi totali +Bolzano'!Q25+'4) costi totali +Stato'!Q25</f>
        <v>3.419884</v>
      </c>
      <c r="Q25" s="76">
        <f>+'1) costi totali + UE'!Q25</f>
        <v>1.196859</v>
      </c>
      <c r="R25" s="76">
        <f t="shared" si="3"/>
        <v>14.741000027038627</v>
      </c>
      <c r="S25" s="76">
        <f t="shared" si="4"/>
        <v>5.45200017</v>
      </c>
      <c r="T25" s="48"/>
    </row>
    <row r="26" spans="1:20" ht="12.75">
      <c r="A26" s="88">
        <v>13</v>
      </c>
      <c r="B26" s="88" t="s">
        <v>64</v>
      </c>
      <c r="C26" s="6" t="s">
        <v>32</v>
      </c>
      <c r="D26" s="121">
        <f t="shared" si="2"/>
        <v>1.12625</v>
      </c>
      <c r="E26" s="75">
        <v>1.12625</v>
      </c>
      <c r="F26" s="75">
        <f>11.3217522</f>
        <v>11.3217522</v>
      </c>
      <c r="G26" s="75">
        <f>5.6608761</f>
        <v>5.6608761</v>
      </c>
      <c r="H26" s="75">
        <v>16.95335428</v>
      </c>
      <c r="I26" s="75">
        <v>8.47667714</v>
      </c>
      <c r="J26" s="76">
        <f>+'1) costi totali + UE'!K26+'3) costi totali +Bolzano'!K26+'4) costi totali +Stato'!K26</f>
        <v>2.587332</v>
      </c>
      <c r="K26" s="76">
        <f>+'1) costi totali + UE'!K26</f>
        <v>1.293666</v>
      </c>
      <c r="L26" s="76">
        <f>+'1) costi totali + UE'!M26+'3) costi totali +Bolzano'!M26+'4) costi totali +Stato'!M26</f>
        <v>15.75</v>
      </c>
      <c r="M26" s="76">
        <f>+'1) costi totali + UE'!M26</f>
        <v>7.875</v>
      </c>
      <c r="N26" s="76">
        <f>+'1) costi totali + UE'!O26+'3) costi totali +Bolzano'!O26+'4) costi totali +Stato'!O26</f>
        <v>15.484</v>
      </c>
      <c r="O26" s="76">
        <f>+'1) costi totali + UE'!O26</f>
        <v>7.742</v>
      </c>
      <c r="P26" s="76">
        <f>+'1) costi totali + UE'!Q26+'3) costi totali +Bolzano'!Q26+'4) costi totali +Stato'!Q26</f>
        <v>14.587312</v>
      </c>
      <c r="Q26" s="76">
        <f>+'1) costi totali + UE'!Q26</f>
        <v>6.7308650000000005</v>
      </c>
      <c r="R26" s="76">
        <f>P26+N26+L26+J26+H26+F26+D26</f>
        <v>77.81000048</v>
      </c>
      <c r="S26" s="76">
        <f>Q26+O26+M26+K26+I26+G26+E26</f>
        <v>38.90533424</v>
      </c>
      <c r="T26" s="48"/>
    </row>
    <row r="27" spans="1:22" ht="12.75">
      <c r="A27" s="88"/>
      <c r="B27" s="88"/>
      <c r="C27" s="6" t="s">
        <v>5</v>
      </c>
      <c r="D27" s="121">
        <v>31.3082581</v>
      </c>
      <c r="E27" s="75">
        <v>15.65412905</v>
      </c>
      <c r="F27" s="75">
        <f>2.021745+0.003332</f>
        <v>2.025077</v>
      </c>
      <c r="G27" s="75">
        <f>1.01099386+0.003332</f>
        <v>1.0143258599999998</v>
      </c>
      <c r="H27" s="75">
        <v>0.75170132</v>
      </c>
      <c r="I27" s="75">
        <v>0.37585066</v>
      </c>
      <c r="J27" s="76">
        <f>+'1) costi totali + UE'!K27+'3) costi totali +Bolzano'!K27+'4) costi totali +Stato'!K27</f>
        <v>14.244962999999998</v>
      </c>
      <c r="K27" s="76">
        <f>+'1) costi totali + UE'!K27</f>
        <v>7.120693999999999</v>
      </c>
      <c r="L27" s="76">
        <v>0</v>
      </c>
      <c r="M27" s="76">
        <f>+'1) costi totali + UE'!M27</f>
        <v>0</v>
      </c>
      <c r="N27" s="76">
        <v>0</v>
      </c>
      <c r="O27" s="76">
        <f>+'1) costi totali + UE'!O27</f>
        <v>0</v>
      </c>
      <c r="P27" s="76">
        <v>0</v>
      </c>
      <c r="Q27" s="76">
        <f>+'1) costi totali + UE'!Q27</f>
        <v>0</v>
      </c>
      <c r="R27" s="76">
        <f>P27+N27+L27+J27+H27+F27+D27</f>
        <v>48.32999942</v>
      </c>
      <c r="S27" s="76">
        <f>Q27+O27+M27+K27+I27+G27+E27</f>
        <v>24.16499957</v>
      </c>
      <c r="T27" s="48"/>
      <c r="U27" s="5"/>
      <c r="V27" s="5"/>
    </row>
    <row r="28" spans="1:20" ht="33.75">
      <c r="A28" s="88">
        <v>14</v>
      </c>
      <c r="B28" s="88" t="s">
        <v>65</v>
      </c>
      <c r="C28" s="6" t="s">
        <v>33</v>
      </c>
      <c r="D28" s="75">
        <f>+E28</f>
        <v>0.271072</v>
      </c>
      <c r="E28" s="75">
        <v>0.271072</v>
      </c>
      <c r="F28" s="75">
        <v>3.945877</v>
      </c>
      <c r="G28" s="75">
        <f>1.9729385</f>
        <v>1.9729385</v>
      </c>
      <c r="H28" s="75">
        <v>6.53143032</v>
      </c>
      <c r="I28" s="75">
        <v>3.26571516</v>
      </c>
      <c r="J28" s="76">
        <f>+'1) costi totali + UE'!K28+'3) costi totali +Bolzano'!K28+'4) costi totali +Stato'!K28</f>
        <v>5.2</v>
      </c>
      <c r="K28" s="76">
        <f>+'1) costi totali + UE'!K28</f>
        <v>2.6</v>
      </c>
      <c r="L28" s="76">
        <f>+'1) costi totali + UE'!M28+'3) costi totali +Bolzano'!M28+'4) costi totali +Stato'!M28</f>
        <v>5.432</v>
      </c>
      <c r="M28" s="76">
        <f>+'1) costi totali + UE'!M28</f>
        <v>2.716</v>
      </c>
      <c r="N28" s="76">
        <f>+'1) costi totali + UE'!O28+'3) costi totali +Bolzano'!O28+'4) costi totali +Stato'!O28</f>
        <v>5.442</v>
      </c>
      <c r="O28" s="76">
        <f>+'1) costi totali + UE'!O28</f>
        <v>2.721</v>
      </c>
      <c r="P28" s="76">
        <f>+'1) costi totali + UE'!Q28+'3) costi totali +Bolzano'!Q28+'4) costi totali +Stato'!Q28+0.001001</f>
        <v>3.4962210000000002</v>
      </c>
      <c r="Q28" s="76">
        <f>+'1) costi totali + UE'!Q28</f>
        <v>1.5908740000000001</v>
      </c>
      <c r="R28" s="76">
        <f>SUM(D28+F28+H28+J28+L28+N28+P28)</f>
        <v>30.31860032</v>
      </c>
      <c r="S28" s="76">
        <f>SUM(E28+G28+I28+K28+M28+O28+Q28)</f>
        <v>15.13759966</v>
      </c>
      <c r="T28" s="48"/>
    </row>
    <row r="29" spans="1:19" ht="56.25">
      <c r="A29" s="88" t="s">
        <v>8</v>
      </c>
      <c r="B29" s="88" t="s">
        <v>71</v>
      </c>
      <c r="C29" s="6" t="s">
        <v>34</v>
      </c>
      <c r="D29" s="75">
        <f>+E29</f>
        <v>0.004357</v>
      </c>
      <c r="E29" s="75">
        <v>0.004357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6">
        <f>+'1) costi totali + UE'!K29</f>
        <v>0</v>
      </c>
      <c r="L29" s="76">
        <v>0</v>
      </c>
      <c r="M29" s="76">
        <f>+'1) costi totali + UE'!M29</f>
        <v>0</v>
      </c>
      <c r="N29" s="76">
        <v>0</v>
      </c>
      <c r="O29" s="76">
        <f>+'1) costi totali + UE'!O29</f>
        <v>0</v>
      </c>
      <c r="P29" s="76">
        <f>+Q29</f>
        <v>0</v>
      </c>
      <c r="Q29" s="76">
        <f>+'1) costi totali + UE'!Q29</f>
        <v>0</v>
      </c>
      <c r="R29" s="76">
        <f aca="true" t="shared" si="5" ref="R29:S32">+P29+N29+L29+J29+H29+F29+D29</f>
        <v>0.004357</v>
      </c>
      <c r="S29" s="76">
        <f t="shared" si="5"/>
        <v>0.004357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>SUM(E31:E32)</f>
        <v>0</v>
      </c>
      <c r="F30" s="75">
        <f>SUM(F31:F32)</f>
        <v>1.164263</v>
      </c>
      <c r="G30" s="75">
        <f>SUM(G31:G32)</f>
        <v>0.465571</v>
      </c>
      <c r="H30" s="75">
        <f>SUM(H31:H32)</f>
        <v>2.677405</v>
      </c>
      <c r="I30" s="75">
        <f>SUM(I31:I32)+0.001</f>
        <v>1.0225399999999998</v>
      </c>
      <c r="J30" s="76">
        <f>+'1) costi totali + UE'!K30+'3) costi totali +Bolzano'!K30+'4) costi totali +Stato'!K30</f>
        <v>2.8016062999999995</v>
      </c>
      <c r="K30" s="76">
        <f>+'1) costi totali + UE'!K30</f>
        <v>1.037672</v>
      </c>
      <c r="L30" s="76">
        <f>+'1) costi totali + UE'!M30+'3) costi totali +Bolzano'!M30+'4) costi totali +Stato'!M30+0.000354</f>
        <v>3.0624450000000003</v>
      </c>
      <c r="M30" s="76">
        <f>+'1) costi totali + UE'!M30</f>
        <v>1.134102</v>
      </c>
      <c r="N30" s="76">
        <f>+'1) costi totali + UE'!O30+'3) costi totali +Bolzano'!O30+'4) costi totali +Stato'!O30+0.0003</f>
        <v>3.7025693</v>
      </c>
      <c r="O30" s="76">
        <f>+'1) costi totali + UE'!O30</f>
        <v>1.370606</v>
      </c>
      <c r="P30" s="76">
        <f>+'1) costi totali + UE'!Q30+'3) costi totali +Bolzano'!Q30+'4) costi totali +Stato'!Q30-0.001575+0.0000003</f>
        <v>6.108710899999999</v>
      </c>
      <c r="Q30" s="76">
        <f>+'1) costi totali + UE'!Q30</f>
        <v>2.197509</v>
      </c>
      <c r="R30" s="76">
        <f t="shared" si="5"/>
        <v>19.516999499999997</v>
      </c>
      <c r="S30" s="76">
        <f t="shared" si="5"/>
        <v>7.227999999999999</v>
      </c>
      <c r="U30" s="5"/>
    </row>
    <row r="31" spans="1:20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0.86</v>
      </c>
      <c r="I31" s="75">
        <v>0.299</v>
      </c>
      <c r="J31" s="76">
        <f>+'1) costi totali + UE'!K31+'3) costi totali +Bolzano'!K31+'4) costi totali +Stato'!K31</f>
        <v>1.5968982999999999</v>
      </c>
      <c r="K31" s="76">
        <f>+'1) costi totali + UE'!K31</f>
        <v>0.5554</v>
      </c>
      <c r="L31" s="76">
        <f>+'1) costi totali + UE'!M31+'3) costi totali +Bolzano'!M31+'4) costi totali +Stato'!M31</f>
        <v>1.744717</v>
      </c>
      <c r="M31" s="76">
        <f>+'1) costi totali + UE'!M31</f>
        <v>0.607275</v>
      </c>
      <c r="N31" s="76">
        <f>+'1) costi totali + UE'!O31+'3) costi totali +Bolzano'!O31+'4) costi totali +Stato'!O31</f>
        <v>2.1100943</v>
      </c>
      <c r="O31" s="76">
        <f>+'1) costi totali + UE'!O31</f>
        <v>0.73387</v>
      </c>
      <c r="P31" s="76">
        <f>+'1) costi totali + UE'!Q31+'3) costi totali +Bolzano'!Q31+'4) costi totali +Stato'!Q31+0.001564</f>
        <v>4.8072903</v>
      </c>
      <c r="Q31" s="76">
        <f>+'1) costi totali + UE'!Q31</f>
        <v>1.671455</v>
      </c>
      <c r="R31" s="76">
        <f t="shared" si="5"/>
        <v>11.118999899999999</v>
      </c>
      <c r="S31" s="76">
        <f t="shared" si="5"/>
        <v>3.867</v>
      </c>
      <c r="T31" s="48"/>
    </row>
    <row r="32" spans="1:20" ht="22.5">
      <c r="A32" s="88" t="s">
        <v>10</v>
      </c>
      <c r="B32" s="88"/>
      <c r="C32" s="6" t="s">
        <v>37</v>
      </c>
      <c r="D32" s="75"/>
      <c r="E32" s="75"/>
      <c r="F32" s="75">
        <v>1.164263</v>
      </c>
      <c r="G32" s="75">
        <v>0.465571</v>
      </c>
      <c r="H32" s="75">
        <f>1.817405</f>
        <v>1.817405</v>
      </c>
      <c r="I32" s="75">
        <f>0.723-0.00046</f>
        <v>0.72254</v>
      </c>
      <c r="J32" s="76">
        <f>+'1) costi totali + UE'!K32+'3) costi totali +Bolzano'!K32+'4) costi totali +Stato'!K32</f>
        <v>1.204708</v>
      </c>
      <c r="K32" s="76">
        <f>+'1) costi totali + UE'!K32</f>
        <v>0.482272</v>
      </c>
      <c r="L32" s="76">
        <f>+'1) costi totali + UE'!M32+'3) costi totali +Bolzano'!M32+'4) costi totali +Stato'!M32</f>
        <v>1.317374</v>
      </c>
      <c r="M32" s="76">
        <f>+'1) costi totali + UE'!M32</f>
        <v>0.526827</v>
      </c>
      <c r="N32" s="76">
        <f>+'1) costi totali + UE'!O32+'3) costi totali +Bolzano'!O32+'4) costi totali +Stato'!O32</f>
        <v>1.592175</v>
      </c>
      <c r="O32" s="76">
        <f>+'1) costi totali + UE'!O32</f>
        <v>0.636736</v>
      </c>
      <c r="P32" s="76">
        <f>+'1) costi totali + UE'!Q32+'3) costi totali +Bolzano'!Q32+'4) costi totali +Stato'!Q32-0.003484</f>
        <v>1.3040752999999998</v>
      </c>
      <c r="Q32" s="76">
        <f>+'1) costi totali + UE'!Q32</f>
        <v>0.526054</v>
      </c>
      <c r="R32" s="76">
        <f t="shared" si="5"/>
        <v>8.400000299999999</v>
      </c>
      <c r="S32" s="76">
        <f t="shared" si="5"/>
        <v>3.3600000000000003</v>
      </c>
      <c r="T32" s="48"/>
    </row>
    <row r="33" spans="1:19" ht="12.75">
      <c r="A33" s="88"/>
      <c r="B33" s="88"/>
      <c r="C33" s="6" t="s">
        <v>53</v>
      </c>
      <c r="D33" s="75"/>
      <c r="E33" s="75">
        <v>0</v>
      </c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>
        <v>0</v>
      </c>
      <c r="R33" s="76"/>
      <c r="S33" s="76">
        <f>+Q33+O33+M33+K33+I33+G33+E33+0</f>
        <v>0</v>
      </c>
    </row>
    <row r="34" spans="1:19" s="10" customFormat="1" ht="12.75">
      <c r="A34" s="89"/>
      <c r="B34" s="89"/>
      <c r="C34" s="37" t="s">
        <v>4</v>
      </c>
      <c r="D34" s="75">
        <f aca="true" t="shared" si="6" ref="D34:I34">SUM(D33+D30+D29+D28+D27+D26+D25+D24+D23+D22+D21+D20+D19+D18+D15+D12+D11+D10+D9+D8)</f>
        <v>33.42736509999999</v>
      </c>
      <c r="E34" s="75">
        <f t="shared" si="6"/>
        <v>17.773236049999998</v>
      </c>
      <c r="F34" s="75">
        <f t="shared" si="6"/>
        <v>29.754956209999996</v>
      </c>
      <c r="G34" s="75">
        <f t="shared" si="6"/>
        <v>13.301049059999999</v>
      </c>
      <c r="H34" s="75">
        <f>SUM(H33+H30+H29+H28+H27+H26+H25+H24+H23+H22+H21+H20+H19+H18+H15+H12+H11+H10+H9+H8)</f>
        <v>40.14631747</v>
      </c>
      <c r="I34" s="75">
        <f t="shared" si="6"/>
        <v>18.154125460000003</v>
      </c>
      <c r="J34" s="77">
        <f aca="true" t="shared" si="7" ref="J34:O34">SUM(J30+J29+J28+J27+J26+J25+J24+J23+J22+J21+J20+J19+J18+J15+J12+J11+J10+J9+J8)</f>
        <v>40.65097519100259</v>
      </c>
      <c r="K34" s="77">
        <f t="shared" si="7"/>
        <v>17.936581999999998</v>
      </c>
      <c r="L34" s="77">
        <f t="shared" si="7"/>
        <v>39.57699999999999</v>
      </c>
      <c r="M34" s="77">
        <f>SUM(M30+M29+M28+M27+M26+M25+M24+M23+M22+M21+M20+M19+M18+M15+M12+M11+M10+M9+M8)</f>
        <v>17.32</v>
      </c>
      <c r="N34" s="77">
        <f t="shared" si="7"/>
        <v>40.706661600000004</v>
      </c>
      <c r="O34" s="77">
        <f t="shared" si="7"/>
        <v>17.709839</v>
      </c>
      <c r="P34" s="77">
        <f>SUM(P30+P29+P28+P27+P26+P25+P24+P23+P22+P21+P20+P19+P18+P15+P12+P11+P10+P9+P8)-0.003138</f>
        <v>41.9972009</v>
      </c>
      <c r="Q34" s="77">
        <f>SUM(Q30+Q29+Q28+Q27+Q26+Q25+Q24+Q23+Q22+Q21+Q20+Q19+Q18+Q15+Q12+Q11+Q10+Q9+Q8)+Q33</f>
        <v>16.475117</v>
      </c>
      <c r="R34" s="77">
        <f>SUM(D34+F34+H34+J34+L34+N34+P34)-0.002862</f>
        <v>266.25761447100257</v>
      </c>
      <c r="S34" s="77">
        <f>SUM(E34+G34+I34+K34+M34+O34+Q34)</f>
        <v>118.66994857</v>
      </c>
    </row>
    <row r="35" spans="2:19" ht="12.75">
      <c r="B35" s="34"/>
      <c r="C35" s="39"/>
      <c r="D35" s="18"/>
      <c r="E35" s="18"/>
      <c r="F35" s="11"/>
      <c r="G35" s="15"/>
      <c r="H35" s="11"/>
      <c r="I35" s="11"/>
      <c r="J35" s="11"/>
      <c r="K35" s="11"/>
      <c r="L35" s="11"/>
      <c r="M35" s="11"/>
      <c r="N35" s="50"/>
      <c r="O35" s="11"/>
      <c r="P35" s="50"/>
      <c r="Q35" s="11"/>
      <c r="R35" s="50"/>
      <c r="S35" s="27"/>
    </row>
    <row r="36" spans="1:2" ht="12.75">
      <c r="A36" s="57" t="s">
        <v>45</v>
      </c>
      <c r="B36" s="36"/>
    </row>
    <row r="37" spans="2:18" ht="12.75">
      <c r="B37" s="36"/>
      <c r="C37" s="30"/>
      <c r="E37" s="54"/>
      <c r="G37" s="49"/>
      <c r="H37" s="48"/>
      <c r="I37" s="48"/>
      <c r="J37" s="48"/>
      <c r="L37" s="48"/>
      <c r="R37" s="48"/>
    </row>
    <row r="38" spans="2:18" ht="12.75">
      <c r="B38" s="9"/>
      <c r="F38" s="48"/>
      <c r="G38" s="49"/>
      <c r="H38" s="48"/>
      <c r="I38" s="48"/>
      <c r="P38" s="48"/>
      <c r="R38" s="48"/>
    </row>
    <row r="39" ht="12.75">
      <c r="P39" s="48"/>
    </row>
    <row r="40" spans="4:18" ht="12.75">
      <c r="D40" s="19"/>
      <c r="F40" s="48"/>
      <c r="H40" s="48"/>
      <c r="L40" s="48"/>
      <c r="N40" s="48"/>
      <c r="P40" s="48"/>
      <c r="R40" s="48"/>
    </row>
    <row r="41" spans="6:18" ht="12.75">
      <c r="F41" s="55"/>
      <c r="R41" s="48"/>
    </row>
    <row r="42" ht="12.75">
      <c r="P42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V39"/>
  <sheetViews>
    <sheetView showGridLines="0" showZeros="0" workbookViewId="0" topLeftCell="A5">
      <pane xSplit="2" ySplit="3" topLeftCell="L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S34" sqref="S34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49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42</v>
      </c>
      <c r="F7" s="14" t="s">
        <v>2</v>
      </c>
      <c r="G7" s="14" t="s">
        <v>42</v>
      </c>
      <c r="H7" s="14" t="s">
        <v>2</v>
      </c>
      <c r="I7" s="14" t="s">
        <v>42</v>
      </c>
      <c r="J7" s="90" t="s">
        <v>2</v>
      </c>
      <c r="K7" s="90" t="s">
        <v>42</v>
      </c>
      <c r="L7" s="90" t="s">
        <v>2</v>
      </c>
      <c r="M7" s="90" t="s">
        <v>42</v>
      </c>
      <c r="N7" s="90" t="s">
        <v>2</v>
      </c>
      <c r="O7" s="90" t="s">
        <v>42</v>
      </c>
      <c r="P7" s="90" t="s">
        <v>2</v>
      </c>
      <c r="Q7" s="90" t="s">
        <v>42</v>
      </c>
      <c r="R7" s="90" t="s">
        <v>2</v>
      </c>
      <c r="S7" s="90" t="s">
        <v>42</v>
      </c>
    </row>
    <row r="8" spans="1:20" s="4" customFormat="1" ht="22.5">
      <c r="A8" s="93">
        <v>1</v>
      </c>
      <c r="B8" s="88" t="s">
        <v>56</v>
      </c>
      <c r="C8" s="6" t="s">
        <v>14</v>
      </c>
      <c r="D8" s="75">
        <v>0.117857</v>
      </c>
      <c r="E8" s="75">
        <v>0</v>
      </c>
      <c r="F8" s="75">
        <v>4.308999999999999</v>
      </c>
      <c r="G8" s="75">
        <v>0.40679161</v>
      </c>
      <c r="H8" s="75">
        <v>5.923</v>
      </c>
      <c r="I8" s="75">
        <v>0.55404569</v>
      </c>
      <c r="J8" s="76">
        <f>+'1) costi totali + UE'!J8</f>
        <v>6.113333333333334</v>
      </c>
      <c r="K8" s="76">
        <f>+J8*0.09</f>
        <v>0.5502</v>
      </c>
      <c r="L8" s="76">
        <f>+'1) costi totali + UE'!L8</f>
        <v>8.905</v>
      </c>
      <c r="M8" s="76">
        <v>0.80145</v>
      </c>
      <c r="N8" s="76">
        <f>+'1) costi totali + UE'!N8</f>
        <v>8.859</v>
      </c>
      <c r="O8" s="76">
        <v>0.79731</v>
      </c>
      <c r="P8" s="76">
        <f>+'1) costi totali + UE'!P8</f>
        <v>9.773143</v>
      </c>
      <c r="Q8" s="76">
        <f>0.839253+0.08115-0.0702</f>
        <v>0.850203</v>
      </c>
      <c r="R8" s="76">
        <f aca="true" t="shared" si="0" ref="R8:S11">+P8+N8+L8+J8+H8+F8+D8</f>
        <v>44.00033333333334</v>
      </c>
      <c r="S8" s="76">
        <f t="shared" si="0"/>
        <v>3.9600003000000004</v>
      </c>
      <c r="T8" s="48"/>
    </row>
    <row r="9" spans="1:20" ht="12.75">
      <c r="A9" s="93">
        <v>2</v>
      </c>
      <c r="B9" s="88" t="s">
        <v>57</v>
      </c>
      <c r="C9" s="6" t="s">
        <v>15</v>
      </c>
      <c r="D9" s="75">
        <v>0.03125</v>
      </c>
      <c r="E9" s="75">
        <v>0</v>
      </c>
      <c r="F9" s="75">
        <v>0.575</v>
      </c>
      <c r="G9" s="75">
        <v>0.08624998</v>
      </c>
      <c r="H9" s="75">
        <v>1.4975</v>
      </c>
      <c r="I9" s="75">
        <v>0.224625</v>
      </c>
      <c r="J9" s="76">
        <f>+'1) costi totali + UE'!J9</f>
        <v>1.12</v>
      </c>
      <c r="K9" s="76">
        <f>+J9*0.15</f>
        <v>0.168</v>
      </c>
      <c r="L9" s="76">
        <f>+'1) costi totali + UE'!L9</f>
        <v>0.885307</v>
      </c>
      <c r="M9" s="76">
        <v>0.132207</v>
      </c>
      <c r="N9" s="76">
        <f>+'1) costi totali + UE'!N9</f>
        <v>0.887</v>
      </c>
      <c r="O9" s="76">
        <v>0.1339</v>
      </c>
      <c r="P9" s="76">
        <f>+'1) costi totali + UE'!P9</f>
        <v>0.8559430000000001</v>
      </c>
      <c r="Q9" s="76">
        <f>0.169425-0.036407</f>
        <v>0.133018</v>
      </c>
      <c r="R9" s="76">
        <f t="shared" si="0"/>
        <v>5.852</v>
      </c>
      <c r="S9" s="76">
        <f t="shared" si="0"/>
        <v>0.87799998</v>
      </c>
      <c r="T9" s="52"/>
    </row>
    <row r="10" spans="1:19" ht="12.75">
      <c r="A10" s="93">
        <v>3</v>
      </c>
      <c r="B10" s="88" t="s">
        <v>58</v>
      </c>
      <c r="C10" s="6" t="s">
        <v>16</v>
      </c>
      <c r="D10" s="75">
        <v>0.006696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6">
        <f>+'1) costi totali + UE'!J10</f>
        <v>0</v>
      </c>
      <c r="K10" s="76">
        <v>0</v>
      </c>
      <c r="L10" s="76">
        <f>+'1) costi totali + UE'!L10</f>
        <v>0</v>
      </c>
      <c r="M10" s="76">
        <v>0</v>
      </c>
      <c r="N10" s="76">
        <f>+'1) costi totali + UE'!N10</f>
        <v>0</v>
      </c>
      <c r="O10" s="76">
        <v>0</v>
      </c>
      <c r="P10" s="76">
        <f>+'1) costi totali + UE'!P10</f>
        <v>0</v>
      </c>
      <c r="Q10" s="76">
        <v>0</v>
      </c>
      <c r="R10" s="76">
        <f t="shared" si="0"/>
        <v>0.006696</v>
      </c>
      <c r="S10" s="76">
        <f t="shared" si="0"/>
        <v>0</v>
      </c>
    </row>
    <row r="11" spans="1:19" ht="12.75">
      <c r="A11" s="93">
        <v>4</v>
      </c>
      <c r="B11" s="88" t="s">
        <v>59</v>
      </c>
      <c r="C11" s="6" t="s">
        <v>17</v>
      </c>
      <c r="D11" s="75">
        <v>0.001786</v>
      </c>
      <c r="E11" s="75">
        <v>0</v>
      </c>
      <c r="F11" s="75">
        <v>0</v>
      </c>
      <c r="G11" s="75">
        <f>+F11*0.161</f>
        <v>0</v>
      </c>
      <c r="H11" s="75">
        <v>0</v>
      </c>
      <c r="I11" s="75">
        <v>0</v>
      </c>
      <c r="J11" s="76">
        <f>+'1) costi totali + UE'!J11</f>
        <v>0</v>
      </c>
      <c r="K11" s="76">
        <v>0</v>
      </c>
      <c r="L11" s="76">
        <f>+'1) costi totali + UE'!L11</f>
        <v>0</v>
      </c>
      <c r="M11" s="76">
        <f>+L11*0.161</f>
        <v>0</v>
      </c>
      <c r="N11" s="76">
        <f>+'1) costi totali + UE'!N11</f>
        <v>0</v>
      </c>
      <c r="O11" s="76">
        <f>+N11*0.161</f>
        <v>0</v>
      </c>
      <c r="P11" s="76">
        <f>+'1) costi totali + UE'!P11</f>
        <v>0</v>
      </c>
      <c r="Q11" s="76"/>
      <c r="R11" s="76">
        <f t="shared" si="0"/>
        <v>0.001786</v>
      </c>
      <c r="S11" s="76">
        <f t="shared" si="0"/>
        <v>0</v>
      </c>
    </row>
    <row r="12" spans="1:20" s="4" customFormat="1" ht="45">
      <c r="A12" s="93" t="s">
        <v>21</v>
      </c>
      <c r="B12" s="88" t="s">
        <v>72</v>
      </c>
      <c r="C12" s="6" t="s">
        <v>39</v>
      </c>
      <c r="D12" s="75">
        <v>0.040179</v>
      </c>
      <c r="E12" s="75">
        <v>0</v>
      </c>
      <c r="F12" s="75">
        <v>1.778</v>
      </c>
      <c r="G12" s="75">
        <f aca="true" t="shared" si="1" ref="G12:O12">SUM(G13:G14)</f>
        <v>0.15460946</v>
      </c>
      <c r="H12" s="75">
        <f t="shared" si="1"/>
        <v>1.16</v>
      </c>
      <c r="I12" s="75">
        <f>SUM(I13:I14)</f>
        <v>0.11060484</v>
      </c>
      <c r="J12" s="76">
        <f>+'1) costi totali + UE'!J12</f>
        <v>2.4866666666666664</v>
      </c>
      <c r="K12" s="76">
        <f t="shared" si="1"/>
        <v>0.2613</v>
      </c>
      <c r="L12" s="76">
        <f>+'1) costi totali + UE'!L12</f>
        <v>3.153</v>
      </c>
      <c r="M12" s="76">
        <f t="shared" si="1"/>
        <v>0.35126999999999997</v>
      </c>
      <c r="N12" s="76">
        <f>+'1) costi totali + UE'!N12</f>
        <v>2.947</v>
      </c>
      <c r="O12" s="76">
        <f t="shared" si="1"/>
        <v>0.33272999999999997</v>
      </c>
      <c r="P12" s="76">
        <f>+'1) costi totali + UE'!P12</f>
        <v>4.794821</v>
      </c>
      <c r="Q12" s="76">
        <f>SUM(Q13:Q14)</f>
        <v>0.666486</v>
      </c>
      <c r="R12" s="76">
        <f>SUM(P12+N12+L12+J12+H12+F12+D12)</f>
        <v>16.359666666666666</v>
      </c>
      <c r="S12" s="76">
        <f aca="true" t="shared" si="2" ref="S12:S17">SUM(Q12+O12+M12+K12+I12+G12)</f>
        <v>1.8770003</v>
      </c>
      <c r="T12" s="48"/>
    </row>
    <row r="13" spans="1:19" s="4" customFormat="1" ht="12.75">
      <c r="A13" s="93" t="s">
        <v>22</v>
      </c>
      <c r="B13" s="88"/>
      <c r="C13" s="6" t="s">
        <v>24</v>
      </c>
      <c r="D13" s="75">
        <v>0.040179</v>
      </c>
      <c r="E13" s="75"/>
      <c r="F13" s="75">
        <v>1.778</v>
      </c>
      <c r="G13" s="75">
        <v>0.15460946</v>
      </c>
      <c r="H13" s="75">
        <v>1.115</v>
      </c>
      <c r="I13" s="75">
        <f>0.103+0.00017984</f>
        <v>0.10317984</v>
      </c>
      <c r="J13" s="76">
        <f>+'1) costi totali + UE'!J13</f>
        <v>1.9866666666666666</v>
      </c>
      <c r="K13" s="76">
        <f>+J13*0.09</f>
        <v>0.1788</v>
      </c>
      <c r="L13" s="76">
        <f>+'1) costi totali + UE'!L13</f>
        <v>2.253</v>
      </c>
      <c r="M13" s="76">
        <v>0.20277</v>
      </c>
      <c r="N13" s="76">
        <f>+'1) costi totali + UE'!N13</f>
        <v>2.047</v>
      </c>
      <c r="O13" s="76">
        <v>0.18423</v>
      </c>
      <c r="P13" s="76">
        <f>+'1) costi totali + UE'!P13</f>
        <v>1.739821</v>
      </c>
      <c r="Q13" s="76">
        <f>0.138441+0.02397</f>
        <v>0.162411</v>
      </c>
      <c r="R13" s="76">
        <f>SUM(P13+N13+L13+J13+H13+F13+D13)</f>
        <v>10.959666666666667</v>
      </c>
      <c r="S13" s="76">
        <f t="shared" si="2"/>
        <v>0.9860002999999999</v>
      </c>
    </row>
    <row r="14" spans="1:20" s="4" customFormat="1" ht="33.75">
      <c r="A14" s="93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f>+H14*0.165</f>
        <v>0.007425</v>
      </c>
      <c r="J14" s="76">
        <f>+'1) costi totali + UE'!J14</f>
        <v>0.5</v>
      </c>
      <c r="K14" s="76">
        <f>+J14*0.165</f>
        <v>0.0825</v>
      </c>
      <c r="L14" s="76">
        <f>+'1) costi totali + UE'!L14</f>
        <v>0.9</v>
      </c>
      <c r="M14" s="76">
        <v>0.1485</v>
      </c>
      <c r="N14" s="76">
        <f>+'1) costi totali + UE'!N14</f>
        <v>0.9</v>
      </c>
      <c r="O14" s="76">
        <v>0.1485</v>
      </c>
      <c r="P14" s="76">
        <f>+'1) costi totali + UE'!P14</f>
        <v>3.0549999999999997</v>
      </c>
      <c r="Q14" s="76">
        <f>0.438075+0.066</f>
        <v>0.504075</v>
      </c>
      <c r="R14" s="76">
        <f>SUM(P14+N14+L14+J14+H14+F14)</f>
        <v>5.3999999999999995</v>
      </c>
      <c r="S14" s="76">
        <f t="shared" si="2"/>
        <v>0.891</v>
      </c>
      <c r="T14" s="5"/>
    </row>
    <row r="15" spans="1:20" ht="45">
      <c r="A15" s="93" t="s">
        <v>11</v>
      </c>
      <c r="B15" s="88" t="s">
        <v>60</v>
      </c>
      <c r="C15" s="6" t="s">
        <v>18</v>
      </c>
      <c r="D15" s="75">
        <v>0.1455</v>
      </c>
      <c r="E15" s="75">
        <v>0</v>
      </c>
      <c r="F15" s="75">
        <v>0.125</v>
      </c>
      <c r="G15" s="75">
        <f aca="true" t="shared" si="3" ref="G15:O15">SUM(G16:G17)</f>
        <v>0.013000000000000001</v>
      </c>
      <c r="H15" s="75">
        <f t="shared" si="3"/>
        <v>1.075</v>
      </c>
      <c r="I15" s="75">
        <f>SUM(I16:I17)</f>
        <v>0.08692499999999999</v>
      </c>
      <c r="J15" s="76">
        <f>+'1) costi totali + UE'!J15</f>
        <v>0.833</v>
      </c>
      <c r="K15" s="76">
        <f t="shared" si="3"/>
        <v>0.072915</v>
      </c>
      <c r="L15" s="76">
        <f>+'1) costi totali + UE'!L15</f>
        <v>0.9</v>
      </c>
      <c r="M15" s="76">
        <f t="shared" si="3"/>
        <v>0.08340600000000001</v>
      </c>
      <c r="N15" s="76">
        <f>+'1) costi totali + UE'!N15</f>
        <v>0.9</v>
      </c>
      <c r="O15" s="76">
        <f t="shared" si="3"/>
        <v>0.083594</v>
      </c>
      <c r="P15" s="76">
        <f>+'1) costi totali + UE'!P15</f>
        <v>1.4215</v>
      </c>
      <c r="Q15" s="76">
        <f>SUM(Q16:Q17)</f>
        <v>0.16416</v>
      </c>
      <c r="R15" s="76">
        <f>SUM(P15+N15+L15+J15+H15+F15+D15)</f>
        <v>5.4</v>
      </c>
      <c r="S15" s="76">
        <f t="shared" si="2"/>
        <v>0.504</v>
      </c>
      <c r="T15" s="52"/>
    </row>
    <row r="16" spans="1:19" ht="45">
      <c r="A16" s="93" t="s">
        <v>12</v>
      </c>
      <c r="B16" s="88"/>
      <c r="C16" s="6" t="s">
        <v>19</v>
      </c>
      <c r="D16" s="75">
        <v>0.1455</v>
      </c>
      <c r="E16" s="75"/>
      <c r="F16" s="75">
        <v>0.08</v>
      </c>
      <c r="G16" s="75">
        <f>+F16*0.075</f>
        <v>0.006</v>
      </c>
      <c r="H16" s="75">
        <v>1.005</v>
      </c>
      <c r="I16" s="75">
        <f>+H16*0.075</f>
        <v>0.07537499999999998</v>
      </c>
      <c r="J16" s="76">
        <f>+'1) costi totali + UE'!J16</f>
        <v>0.717</v>
      </c>
      <c r="K16" s="76">
        <f>+J16*0.075</f>
        <v>0.053774999999999996</v>
      </c>
      <c r="L16" s="76">
        <f>+'1) costi totali + UE'!L16</f>
        <v>0.716667</v>
      </c>
      <c r="M16" s="76">
        <v>0.053156</v>
      </c>
      <c r="N16" s="76">
        <f>+'1) costi totali + UE'!N16</f>
        <v>0.716667</v>
      </c>
      <c r="O16" s="76">
        <v>0.053419</v>
      </c>
      <c r="P16" s="76">
        <f>+'1) costi totali + UE'!P16</f>
        <v>0.9191659999999999</v>
      </c>
      <c r="Q16" s="76">
        <v>0.082275</v>
      </c>
      <c r="R16" s="76">
        <f>SUM(P16+N16+L16+J16+H16+F16+D16)</f>
        <v>4.300000000000001</v>
      </c>
      <c r="S16" s="76">
        <f t="shared" si="2"/>
        <v>0.324</v>
      </c>
    </row>
    <row r="17" spans="1:19" ht="67.5">
      <c r="A17" s="93" t="s">
        <v>13</v>
      </c>
      <c r="B17" s="88"/>
      <c r="C17" s="6" t="s">
        <v>20</v>
      </c>
      <c r="D17" s="75"/>
      <c r="E17" s="75"/>
      <c r="F17" s="75">
        <v>0.045</v>
      </c>
      <c r="G17" s="75">
        <v>0.007</v>
      </c>
      <c r="H17" s="75">
        <v>0.07</v>
      </c>
      <c r="I17" s="75">
        <f>+H17*0.165</f>
        <v>0.011550000000000001</v>
      </c>
      <c r="J17" s="76">
        <f>+'1) costi totali + UE'!J17</f>
        <v>0.116</v>
      </c>
      <c r="K17" s="76">
        <f>+J17*0.165</f>
        <v>0.01914</v>
      </c>
      <c r="L17" s="76">
        <f>+'1) costi totali + UE'!L17</f>
        <v>0.183333</v>
      </c>
      <c r="M17" s="76">
        <v>0.03025</v>
      </c>
      <c r="N17" s="76">
        <f>+'1) costi totali + UE'!N17</f>
        <v>0.183333</v>
      </c>
      <c r="O17" s="76">
        <v>0.030175</v>
      </c>
      <c r="P17" s="76">
        <f>+'1) costi totali + UE'!P17</f>
        <v>0.5023340000000001</v>
      </c>
      <c r="Q17" s="76">
        <f>0.07083+0.011055</f>
        <v>0.081885</v>
      </c>
      <c r="R17" s="76">
        <f>SUM(P17+N17+L17+J17+H17+F17)</f>
        <v>1.0999999999999999</v>
      </c>
      <c r="S17" s="76">
        <f t="shared" si="2"/>
        <v>0.18</v>
      </c>
    </row>
    <row r="18" spans="1:19" ht="33.75">
      <c r="A18" s="93"/>
      <c r="B18" s="88" t="s">
        <v>61</v>
      </c>
      <c r="C18" s="6" t="s">
        <v>7</v>
      </c>
      <c r="D18" s="75">
        <v>0.019107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6">
        <f>+'1) costi totali + UE'!J18</f>
        <v>0</v>
      </c>
      <c r="K18" s="76">
        <v>0</v>
      </c>
      <c r="L18" s="76">
        <f>+'1) costi totali + UE'!L18</f>
        <v>0</v>
      </c>
      <c r="M18" s="76">
        <v>0</v>
      </c>
      <c r="N18" s="76">
        <f>+'1) costi totali + UE'!N18</f>
        <v>0</v>
      </c>
      <c r="O18" s="76">
        <v>0</v>
      </c>
      <c r="P18" s="76">
        <f>+'1) costi totali + UE'!P18</f>
        <v>0</v>
      </c>
      <c r="Q18" s="76">
        <v>0</v>
      </c>
      <c r="R18" s="76">
        <f aca="true" t="shared" si="4" ref="R18:S23">+P18+N18+L18+J18+H18+F18+D18</f>
        <v>0.019107</v>
      </c>
      <c r="S18" s="76">
        <f t="shared" si="4"/>
        <v>0</v>
      </c>
    </row>
    <row r="19" spans="1:19" ht="33.75">
      <c r="A19" s="93">
        <v>6</v>
      </c>
      <c r="B19" s="88" t="s">
        <v>66</v>
      </c>
      <c r="C19" s="6" t="s">
        <v>25</v>
      </c>
      <c r="D19" s="75">
        <v>0.160714</v>
      </c>
      <c r="E19" s="75">
        <v>0</v>
      </c>
      <c r="F19" s="75">
        <v>13.915579933333333</v>
      </c>
      <c r="G19" s="75">
        <v>1.0436689</v>
      </c>
      <c r="H19" s="75">
        <v>14.258</v>
      </c>
      <c r="I19" s="75">
        <v>1.069377</v>
      </c>
      <c r="J19" s="76">
        <f>+'1) costi totali + UE'!J19</f>
        <v>14.666666666666668</v>
      </c>
      <c r="K19" s="76">
        <f>+J19*0.075</f>
        <v>1.1</v>
      </c>
      <c r="L19" s="76">
        <f>+'1) costi totali + UE'!L19</f>
        <v>10.1</v>
      </c>
      <c r="M19" s="76">
        <v>0.7575</v>
      </c>
      <c r="N19" s="76">
        <f>+'1) costi totali + UE'!N19</f>
        <v>11.1</v>
      </c>
      <c r="O19" s="76">
        <v>0.8325</v>
      </c>
      <c r="P19" s="76">
        <f>+'1) costi totali + UE'!P19</f>
        <v>3.9653720000000003</v>
      </c>
      <c r="Q19" s="76">
        <f>0.592954-0.1825-0.1015</f>
        <v>0.30895399999999995</v>
      </c>
      <c r="R19" s="76">
        <f t="shared" si="4"/>
        <v>68.16633259999999</v>
      </c>
      <c r="S19" s="76">
        <f t="shared" si="4"/>
        <v>5.1119999</v>
      </c>
    </row>
    <row r="20" spans="1:19" ht="33.75">
      <c r="A20" s="93">
        <v>7</v>
      </c>
      <c r="B20" s="88" t="s">
        <v>67</v>
      </c>
      <c r="C20" s="6" t="s">
        <v>26</v>
      </c>
      <c r="D20" s="75">
        <v>0.004464</v>
      </c>
      <c r="E20" s="75">
        <v>0</v>
      </c>
      <c r="F20" s="75">
        <v>0</v>
      </c>
      <c r="G20" s="75">
        <v>0</v>
      </c>
      <c r="H20" s="75">
        <v>0</v>
      </c>
      <c r="I20" s="75">
        <f>+H20*0.151</f>
        <v>0</v>
      </c>
      <c r="J20" s="76">
        <f>+'1) costi totali + UE'!J20</f>
        <v>0</v>
      </c>
      <c r="K20" s="76">
        <f>+J20*0.151</f>
        <v>0</v>
      </c>
      <c r="L20" s="76">
        <f>+'1) costi totali + UE'!L20</f>
        <v>0</v>
      </c>
      <c r="M20" s="76">
        <f>+L20*0.151</f>
        <v>0</v>
      </c>
      <c r="N20" s="76">
        <f>+'1) costi totali + UE'!N20</f>
        <v>0</v>
      </c>
      <c r="O20" s="76">
        <f>+N20*0.151</f>
        <v>0</v>
      </c>
      <c r="P20" s="76">
        <f>+'1) costi totali + UE'!P20</f>
        <v>0</v>
      </c>
      <c r="Q20" s="76">
        <v>0</v>
      </c>
      <c r="R20" s="76">
        <f t="shared" si="4"/>
        <v>0.004464</v>
      </c>
      <c r="S20" s="76">
        <f t="shared" si="4"/>
        <v>0</v>
      </c>
    </row>
    <row r="21" spans="1:19" ht="12.75">
      <c r="A21" s="93">
        <v>8</v>
      </c>
      <c r="B21" s="88" t="s">
        <v>62</v>
      </c>
      <c r="C21" s="6" t="s">
        <v>27</v>
      </c>
      <c r="D21" s="75">
        <v>0.006696</v>
      </c>
      <c r="E21" s="75">
        <v>0</v>
      </c>
      <c r="F21" s="75">
        <v>0.075</v>
      </c>
      <c r="G21" s="75">
        <v>0.01124971</v>
      </c>
      <c r="H21" s="75">
        <v>0.135</v>
      </c>
      <c r="I21" s="75">
        <f>+H21*0.15</f>
        <v>0.02025</v>
      </c>
      <c r="J21" s="76">
        <f>+'1) costi totali + UE'!J21</f>
        <v>0.135</v>
      </c>
      <c r="K21" s="76">
        <v>0.02025</v>
      </c>
      <c r="L21" s="76">
        <f>+'1) costi totali + UE'!L21</f>
        <v>0.135</v>
      </c>
      <c r="M21" s="76">
        <v>0.02025</v>
      </c>
      <c r="N21" s="76">
        <f>+'1) costi totali + UE'!N21</f>
        <v>0.1355</v>
      </c>
      <c r="O21" s="76">
        <v>0.02025</v>
      </c>
      <c r="P21" s="76">
        <f>+'1) costi totali + UE'!P21</f>
        <v>0.127804</v>
      </c>
      <c r="Q21" s="76">
        <v>0.02075</v>
      </c>
      <c r="R21" s="76">
        <f t="shared" si="4"/>
        <v>0.75</v>
      </c>
      <c r="S21" s="76">
        <f t="shared" si="4"/>
        <v>0.11299971</v>
      </c>
    </row>
    <row r="22" spans="1:19" ht="45">
      <c r="A22" s="93">
        <v>9</v>
      </c>
      <c r="B22" s="88" t="s">
        <v>63</v>
      </c>
      <c r="C22" s="6" t="s">
        <v>28</v>
      </c>
      <c r="D22" s="75">
        <v>0.005357</v>
      </c>
      <c r="E22" s="75">
        <v>0</v>
      </c>
      <c r="F22" s="75">
        <v>0</v>
      </c>
      <c r="G22" s="75">
        <v>0</v>
      </c>
      <c r="H22" s="75">
        <v>0</v>
      </c>
      <c r="I22" s="75">
        <f>+H22*0.095</f>
        <v>0</v>
      </c>
      <c r="J22" s="76">
        <f>+'1) costi totali + UE'!J22</f>
        <v>0</v>
      </c>
      <c r="K22" s="76">
        <f>+J22*0.095</f>
        <v>0</v>
      </c>
      <c r="L22" s="76">
        <f>+'1) costi totali + UE'!L22</f>
        <v>0</v>
      </c>
      <c r="M22" s="76">
        <f>+L22*0.095</f>
        <v>0</v>
      </c>
      <c r="N22" s="76">
        <f>+'1) costi totali + UE'!N22</f>
        <v>0.168</v>
      </c>
      <c r="O22" s="76">
        <v>0.01596</v>
      </c>
      <c r="P22" s="76">
        <f>+'1) costi totali + UE'!P22</f>
        <v>0.356643</v>
      </c>
      <c r="Q22" s="76">
        <v>0.03404</v>
      </c>
      <c r="R22" s="76">
        <f t="shared" si="4"/>
        <v>0.5299999999999999</v>
      </c>
      <c r="S22" s="76">
        <f t="shared" si="4"/>
        <v>0.05</v>
      </c>
    </row>
    <row r="23" spans="1:19" ht="22.5">
      <c r="A23" s="93">
        <v>10</v>
      </c>
      <c r="B23" s="88" t="s">
        <v>68</v>
      </c>
      <c r="C23" s="6" t="s">
        <v>29</v>
      </c>
      <c r="D23" s="75">
        <v>0.005357</v>
      </c>
      <c r="E23" s="75">
        <v>0</v>
      </c>
      <c r="F23" s="75">
        <v>0</v>
      </c>
      <c r="G23" s="75">
        <v>0</v>
      </c>
      <c r="H23" s="75">
        <v>0</v>
      </c>
      <c r="I23" s="75">
        <f>+H23*0.151</f>
        <v>0</v>
      </c>
      <c r="J23" s="76">
        <f>+'1) costi totali + UE'!J23</f>
        <v>0</v>
      </c>
      <c r="K23" s="76">
        <f>+J23*0.151</f>
        <v>0</v>
      </c>
      <c r="L23" s="76">
        <f>+'1) costi totali + UE'!L23</f>
        <v>0</v>
      </c>
      <c r="M23" s="76">
        <f>+L23*0.151</f>
        <v>0</v>
      </c>
      <c r="N23" s="76">
        <f>+'1) costi totali + UE'!N23</f>
        <v>0</v>
      </c>
      <c r="O23" s="76">
        <f>+N23*0.151</f>
        <v>0</v>
      </c>
      <c r="P23" s="76">
        <f>+'1) costi totali + UE'!P23</f>
        <v>0</v>
      </c>
      <c r="Q23" s="76">
        <v>0</v>
      </c>
      <c r="R23" s="76">
        <f t="shared" si="4"/>
        <v>0.005357</v>
      </c>
      <c r="S23" s="76">
        <f t="shared" si="4"/>
        <v>0</v>
      </c>
    </row>
    <row r="24" spans="1:20" ht="33.75">
      <c r="A24" s="93">
        <v>11</v>
      </c>
      <c r="B24" s="88" t="s">
        <v>69</v>
      </c>
      <c r="C24" s="6" t="s">
        <v>30</v>
      </c>
      <c r="D24" s="75">
        <v>0.064286</v>
      </c>
      <c r="E24" s="75">
        <v>0</v>
      </c>
      <c r="F24" s="75">
        <v>0</v>
      </c>
      <c r="G24" s="75">
        <f>+F24*0.151</f>
        <v>0</v>
      </c>
      <c r="H24" s="75">
        <v>0.998</v>
      </c>
      <c r="I24" s="75">
        <v>0.1506792</v>
      </c>
      <c r="J24" s="76">
        <f>+'1) costi totali + UE'!J24</f>
        <v>1.6216216216216217</v>
      </c>
      <c r="K24" s="76">
        <f>+J24*0.151</f>
        <v>0.24486486486486486</v>
      </c>
      <c r="L24" s="76">
        <f>+'1) costi totali + UE'!L24</f>
        <v>2.491</v>
      </c>
      <c r="M24" s="76">
        <v>0.376141</v>
      </c>
      <c r="N24" s="76">
        <f>+'1) costi totali + UE'!N24</f>
        <v>2.333</v>
      </c>
      <c r="O24" s="76">
        <v>0.353656</v>
      </c>
      <c r="P24" s="76">
        <f>+'1) costi totali + UE'!P24</f>
        <v>4.64247</v>
      </c>
      <c r="Q24" s="76">
        <f>0.578855-0.134145+0.26527</f>
        <v>0.70998</v>
      </c>
      <c r="R24" s="76">
        <f>+P24+N24+L24+J24+H24+F24+D24</f>
        <v>12.15037762162162</v>
      </c>
      <c r="S24" s="76">
        <f>+Q24+O24+M24+K24+I24+G24+E24+0.000679</f>
        <v>1.8360000648648651</v>
      </c>
      <c r="T24" s="52"/>
    </row>
    <row r="25" spans="1:20" ht="22.5">
      <c r="A25" s="93">
        <v>12</v>
      </c>
      <c r="B25" s="88" t="s">
        <v>70</v>
      </c>
      <c r="C25" s="6" t="s">
        <v>31</v>
      </c>
      <c r="D25" s="75">
        <v>0.108179</v>
      </c>
      <c r="E25" s="75">
        <v>0</v>
      </c>
      <c r="F25" s="75">
        <v>2.76</v>
      </c>
      <c r="G25" s="75">
        <v>0.41704397</v>
      </c>
      <c r="H25" s="75">
        <v>1.791</v>
      </c>
      <c r="I25" s="75">
        <v>0.24904163</v>
      </c>
      <c r="J25" s="76">
        <f>+'1) costi totali + UE'!J25</f>
        <v>4.721030042918455</v>
      </c>
      <c r="K25" s="76">
        <f>+J25*0.119</f>
        <v>0.5618025751072961</v>
      </c>
      <c r="L25" s="76">
        <f>+'1) costi totali + UE'!L25</f>
        <v>3.343</v>
      </c>
      <c r="M25" s="76">
        <v>0.397817</v>
      </c>
      <c r="N25" s="76">
        <f>+'1) costi totali + UE'!N25</f>
        <v>4.137</v>
      </c>
      <c r="O25" s="76">
        <v>0.492303</v>
      </c>
      <c r="P25" s="76">
        <f>+'1) costi totali + UE'!P25</f>
        <v>6.538821</v>
      </c>
      <c r="Q25" s="76">
        <f>0.830453-0.164461</f>
        <v>0.665992</v>
      </c>
      <c r="R25" s="76">
        <f>+P25+N25+L25+J25+H25+F25+D25</f>
        <v>23.399030042918454</v>
      </c>
      <c r="S25" s="76">
        <f>+Q25+O25+M25+K25+I25+G25+E25</f>
        <v>2.7840001751072965</v>
      </c>
      <c r="T25" s="52"/>
    </row>
    <row r="26" spans="1:20" s="4" customFormat="1" ht="12.75">
      <c r="A26" s="93">
        <v>13</v>
      </c>
      <c r="B26" s="88" t="s">
        <v>64</v>
      </c>
      <c r="C26" s="6" t="s">
        <v>32</v>
      </c>
      <c r="D26" s="121">
        <v>1.12625</v>
      </c>
      <c r="E26" s="75">
        <v>0</v>
      </c>
      <c r="F26" s="75">
        <f>11.3217522</f>
        <v>11.3217522</v>
      </c>
      <c r="G26" s="75">
        <v>0</v>
      </c>
      <c r="H26" s="75">
        <v>16.95335428</v>
      </c>
      <c r="I26" s="75">
        <v>0</v>
      </c>
      <c r="J26" s="76">
        <f>+'1) costi totali + UE'!J26</f>
        <v>2.587332</v>
      </c>
      <c r="K26" s="76">
        <v>0</v>
      </c>
      <c r="L26" s="76">
        <f>+'1) costi totali + UE'!L26</f>
        <v>15.75</v>
      </c>
      <c r="M26" s="76">
        <v>0</v>
      </c>
      <c r="N26" s="76">
        <f>+'1) costi totali + UE'!N26</f>
        <v>15.484</v>
      </c>
      <c r="O26" s="76">
        <v>0</v>
      </c>
      <c r="P26" s="76">
        <f>+'1) costi totali + UE'!P26</f>
        <v>14.587311999999999</v>
      </c>
      <c r="Q26" s="76">
        <v>0</v>
      </c>
      <c r="R26" s="76">
        <f>P26+N26+L26+J26+H26+F26+D26</f>
        <v>77.81000048</v>
      </c>
      <c r="S26" s="76">
        <f>Q26+O26+M26+K26+I26+G26+E26</f>
        <v>0</v>
      </c>
      <c r="T26" s="5"/>
    </row>
    <row r="27" spans="1:22" s="4" customFormat="1" ht="12.75">
      <c r="A27" s="93"/>
      <c r="B27" s="88"/>
      <c r="C27" s="6" t="s">
        <v>5</v>
      </c>
      <c r="D27" s="121">
        <v>31.3082581</v>
      </c>
      <c r="E27" s="75">
        <v>0</v>
      </c>
      <c r="F27" s="75">
        <f>2.0217454+0.003332</f>
        <v>2.0250774</v>
      </c>
      <c r="G27" s="75">
        <v>0</v>
      </c>
      <c r="H27" s="75">
        <v>0.75170132</v>
      </c>
      <c r="I27" s="75">
        <v>0</v>
      </c>
      <c r="J27" s="76">
        <f>+'1) costi totali + UE'!J27</f>
        <v>14.244963</v>
      </c>
      <c r="K27" s="76">
        <v>0</v>
      </c>
      <c r="L27" s="76">
        <f>+'1) costi totali + UE'!L27</f>
        <v>0</v>
      </c>
      <c r="M27" s="76">
        <v>0</v>
      </c>
      <c r="N27" s="76">
        <f>+'1) costi totali + UE'!N27</f>
        <v>0</v>
      </c>
      <c r="O27" s="76">
        <v>0</v>
      </c>
      <c r="P27" s="76">
        <f>+'1) costi totali + UE'!P27</f>
        <v>0</v>
      </c>
      <c r="Q27" s="76">
        <v>0</v>
      </c>
      <c r="R27" s="76">
        <f>P27+N27+L27+J27+H27+F27+D27</f>
        <v>48.32999982</v>
      </c>
      <c r="S27" s="76">
        <f>Q27+O27+M27+K27+I27+G27+E27</f>
        <v>0</v>
      </c>
      <c r="T27" s="5"/>
      <c r="U27" s="5"/>
      <c r="V27" s="5"/>
    </row>
    <row r="28" spans="1:19" ht="33.75">
      <c r="A28" s="93">
        <v>14</v>
      </c>
      <c r="B28" s="88" t="s">
        <v>65</v>
      </c>
      <c r="C28" s="6" t="s">
        <v>33</v>
      </c>
      <c r="D28" s="75">
        <v>0.271072</v>
      </c>
      <c r="E28" s="75">
        <v>0</v>
      </c>
      <c r="F28" s="75">
        <v>3.945877</v>
      </c>
      <c r="G28" s="75">
        <v>0</v>
      </c>
      <c r="H28" s="75">
        <v>6.53143032</v>
      </c>
      <c r="I28" s="75">
        <v>0</v>
      </c>
      <c r="J28" s="76">
        <f>+'1) costi totali + UE'!J28</f>
        <v>5.2</v>
      </c>
      <c r="K28" s="76">
        <v>0</v>
      </c>
      <c r="L28" s="76">
        <f>+'1) costi totali + UE'!L28</f>
        <v>5.432</v>
      </c>
      <c r="M28" s="76">
        <v>0</v>
      </c>
      <c r="N28" s="76">
        <f>+'1) costi totali + UE'!N28</f>
        <v>5.442</v>
      </c>
      <c r="O28" s="76">
        <v>0</v>
      </c>
      <c r="P28" s="76">
        <f>+'1) costi totali + UE'!P28</f>
        <v>3.496221</v>
      </c>
      <c r="Q28" s="76">
        <v>0</v>
      </c>
      <c r="R28" s="76">
        <f>SUM(D28+F28+H28+J28+L28+N28+P28)</f>
        <v>30.31860032</v>
      </c>
      <c r="S28" s="76">
        <f>SUM(E28+G28+I28+K28+M28+O28+Q28)</f>
        <v>0</v>
      </c>
    </row>
    <row r="29" spans="1:19" ht="56.25">
      <c r="A29" s="93" t="s">
        <v>8</v>
      </c>
      <c r="B29" s="88" t="s">
        <v>71</v>
      </c>
      <c r="C29" s="6" t="s">
        <v>34</v>
      </c>
      <c r="D29" s="75">
        <v>0.004357</v>
      </c>
      <c r="E29" s="75">
        <v>0</v>
      </c>
      <c r="F29" s="75">
        <v>0</v>
      </c>
      <c r="G29" s="75">
        <v>0</v>
      </c>
      <c r="H29" s="75">
        <v>0</v>
      </c>
      <c r="I29" s="75">
        <f>+H29*0.095</f>
        <v>0</v>
      </c>
      <c r="J29" s="76">
        <f>+'1) costi totali + UE'!J29</f>
        <v>0</v>
      </c>
      <c r="K29" s="76">
        <f>+J29*0.095</f>
        <v>0</v>
      </c>
      <c r="L29" s="76">
        <f>+'1) costi totali + UE'!L29</f>
        <v>0</v>
      </c>
      <c r="M29" s="76">
        <f>+L29*0.095</f>
        <v>0</v>
      </c>
      <c r="N29" s="76">
        <f>+'1) costi totali + UE'!N29</f>
        <v>0</v>
      </c>
      <c r="O29" s="76">
        <f>+N29*0.095</f>
        <v>0</v>
      </c>
      <c r="P29" s="76">
        <f>+'1) costi totali + UE'!P29</f>
        <v>0</v>
      </c>
      <c r="Q29" s="76">
        <v>0</v>
      </c>
      <c r="R29" s="76">
        <f>+P29+N29+L29+J29+H29+F29+D29</f>
        <v>0.004357</v>
      </c>
      <c r="S29" s="76">
        <f>+Q29+O29+M29+K29+I29+G29+E29</f>
        <v>0</v>
      </c>
    </row>
    <row r="30" spans="1:21" ht="45">
      <c r="A30" s="93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5" ref="E30:O30">SUM(E31:E32)</f>
        <v>0</v>
      </c>
      <c r="F30" s="75">
        <v>2.9090457499999998</v>
      </c>
      <c r="G30" s="75">
        <f t="shared" si="5"/>
        <v>0.209834</v>
      </c>
      <c r="H30" s="75">
        <f t="shared" si="5"/>
        <v>5.552014</v>
      </c>
      <c r="I30" s="75">
        <f t="shared" si="5"/>
        <v>0.49632600799999993</v>
      </c>
      <c r="J30" s="76">
        <f>+'1) costi totali + UE'!J30</f>
        <v>4.889705</v>
      </c>
      <c r="K30" s="76">
        <f t="shared" si="5"/>
        <v>0.529436</v>
      </c>
      <c r="L30" s="76">
        <f>+'1) costi totali + UE'!L30</f>
        <v>5.348</v>
      </c>
      <c r="M30" s="76">
        <f t="shared" si="5"/>
        <v>0.578958</v>
      </c>
      <c r="N30" s="76">
        <f>+'1) costi totali + UE'!N30</f>
        <v>6.462</v>
      </c>
      <c r="O30" s="76">
        <f t="shared" si="5"/>
        <v>0.699797</v>
      </c>
      <c r="P30" s="76">
        <f>+'1) costi totali + UE'!P30</f>
        <v>8.907235</v>
      </c>
      <c r="Q30" s="76">
        <f>SUM(Q31:Q32)</f>
        <v>1.172649</v>
      </c>
      <c r="R30" s="76">
        <f aca="true" t="shared" si="6" ref="R30:S32">+P30+N30+L30+J30+H30+F30+D30</f>
        <v>34.06799975</v>
      </c>
      <c r="S30" s="76">
        <f>+Q30+O30+M30+K30+I30+G30+E30</f>
        <v>3.687000008</v>
      </c>
      <c r="T30" s="52"/>
      <c r="U30" s="7"/>
    </row>
    <row r="31" spans="1:19" s="4" customFormat="1" ht="45">
      <c r="A31" s="93" t="s">
        <v>9</v>
      </c>
      <c r="B31" s="88"/>
      <c r="C31" s="6" t="s">
        <v>38</v>
      </c>
      <c r="D31" s="75"/>
      <c r="E31" s="75"/>
      <c r="F31" s="75">
        <v>0</v>
      </c>
      <c r="G31" s="75">
        <f>+F31*0.166</f>
        <v>0</v>
      </c>
      <c r="H31" s="75">
        <v>1.011</v>
      </c>
      <c r="I31" s="75">
        <f>+H31*0.167</f>
        <v>0.168837</v>
      </c>
      <c r="J31" s="76">
        <f>+'1) costi totali + UE'!J31</f>
        <v>1.876351</v>
      </c>
      <c r="K31" s="76">
        <v>0.312474</v>
      </c>
      <c r="L31" s="76">
        <f>+'1) costi totali + UE'!L31</f>
        <v>2.051606</v>
      </c>
      <c r="M31" s="76">
        <v>0.341618</v>
      </c>
      <c r="N31" s="76">
        <f>+'1) costi totali + UE'!N31</f>
        <v>2.479292</v>
      </c>
      <c r="O31" s="76">
        <v>0.413042</v>
      </c>
      <c r="P31" s="76">
        <f>+'1) costi totali + UE'!P31</f>
        <v>5.649751</v>
      </c>
      <c r="Q31" s="76">
        <v>0.939029</v>
      </c>
      <c r="R31" s="76">
        <f t="shared" si="6"/>
        <v>13.067999999999998</v>
      </c>
      <c r="S31" s="76">
        <f t="shared" si="6"/>
        <v>2.175</v>
      </c>
    </row>
    <row r="32" spans="1:19" s="4" customFormat="1" ht="22.5">
      <c r="A32" s="93" t="s">
        <v>10</v>
      </c>
      <c r="B32" s="88"/>
      <c r="C32" s="6" t="s">
        <v>37</v>
      </c>
      <c r="D32" s="75"/>
      <c r="E32" s="75"/>
      <c r="F32" s="75">
        <v>2.9090457499999998</v>
      </c>
      <c r="G32" s="75">
        <v>0.209834</v>
      </c>
      <c r="H32" s="75">
        <v>4.541014</v>
      </c>
      <c r="I32" s="75">
        <f>+H32*0.072+0.000536</f>
        <v>0.3274890079999999</v>
      </c>
      <c r="J32" s="76">
        <f>+'1) costi totali + UE'!J32</f>
        <v>3.013354</v>
      </c>
      <c r="K32" s="76">
        <v>0.216962</v>
      </c>
      <c r="L32" s="76">
        <f>+'1) costi totali + UE'!L32</f>
        <v>3.296394</v>
      </c>
      <c r="M32" s="76">
        <v>0.23734</v>
      </c>
      <c r="N32" s="76">
        <f>+'1) costi totali + UE'!N32</f>
        <v>3.982708</v>
      </c>
      <c r="O32" s="76">
        <v>0.286755</v>
      </c>
      <c r="P32" s="76">
        <f>+'1) costi totali + UE'!P32</f>
        <v>3.257484</v>
      </c>
      <c r="Q32" s="76">
        <v>0.23362</v>
      </c>
      <c r="R32" s="76">
        <f t="shared" si="6"/>
        <v>20.99999975</v>
      </c>
      <c r="S32" s="76">
        <f t="shared" si="6"/>
        <v>1.512000008</v>
      </c>
    </row>
    <row r="33" spans="1:19" s="4" customFormat="1" ht="12.75">
      <c r="A33" s="88"/>
      <c r="B33" s="88"/>
      <c r="C33" s="37" t="s">
        <v>53</v>
      </c>
      <c r="D33" s="75"/>
      <c r="E33" s="75"/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6">
        <f>+Q33+O33+M33+K33+I33+G33+E33</f>
        <v>0</v>
      </c>
    </row>
    <row r="34" spans="1:20" s="3" customFormat="1" ht="12.75">
      <c r="A34" s="94"/>
      <c r="B34" s="88"/>
      <c r="C34" s="38" t="s">
        <v>4</v>
      </c>
      <c r="D34" s="75">
        <f>SUM(D33+D30+D29+D28+D27+D26+D25+D24+D23+D22+D21+D20+D19+D18+D15+D12+D11+D10+D9+D8)</f>
        <v>33.42736509999999</v>
      </c>
      <c r="E34" s="75">
        <f>SUM(E30+E29+E28+E27+E26+E25+E24+E23+E22+E21+E20+E19+E18+E15+E12+E11+E10+E9+E8)</f>
        <v>0</v>
      </c>
      <c r="F34" s="75">
        <f>SUM(F30+F29+F28+F27+F26+F25+F24+F23+F22+F21+F20+F19+F18+F15+F12+F11+F10+F9+F8)</f>
        <v>43.73933228333333</v>
      </c>
      <c r="G34" s="75">
        <f>+G32+G31+G29+G28+G27+G26+G25+G24+G23+G22+G21+G20+G19+G18+G17+G16+G14+G13+G11+G10+G9+G8</f>
        <v>2.34244763</v>
      </c>
      <c r="H34" s="75">
        <f>SUM(H30+H29+H28+H27+H26+H25+H24+H23+H22+H21+H20+H19+H18+H15+H12+H11+H10+H9+H8)</f>
        <v>56.62599992</v>
      </c>
      <c r="I34" s="75">
        <f>+I32+I31+I29+I28+I27+I26+I25+I24+I23+I22+I21+I20+I19+I18+I17+I16+I14+I13+I11+I10+I9+I8</f>
        <v>2.961874368</v>
      </c>
      <c r="J34" s="77">
        <f>SUM(J30+J29+J28+J27+J26+J25+J24+J23+J22+J21+J20+J19+J18+J15+J12+J11+J10+J9+J8)</f>
        <v>58.61931833120674</v>
      </c>
      <c r="K34" s="77">
        <f>+K32+K31+K29+K28+K27+K26+K25+K24+K23+K22+K21+K20+K19+K18+K17+K16+K14+K13+K11+K10+K9+K8</f>
        <v>3.508768439972161</v>
      </c>
      <c r="L34" s="77">
        <f aca="true" t="shared" si="7" ref="L34:Q34">SUM(L30+L29+L28+L27+L26+L25+L24+L23+L22+L21+L20+L19+L18+L15+L12+L11+L10+L9+L8)</f>
        <v>56.442307</v>
      </c>
      <c r="M34" s="77">
        <f>SUM(M30+M29+M28+M27+M26+M25+M24+M23+M22+M21+M20+M19+M18+M15+M12+M11+M10+M9+M8)+0.000001</f>
        <v>3.4990000000000006</v>
      </c>
      <c r="N34" s="77">
        <f t="shared" si="7"/>
        <v>58.8545</v>
      </c>
      <c r="O34" s="77">
        <f t="shared" si="7"/>
        <v>3.7620000000000005</v>
      </c>
      <c r="P34" s="77">
        <f>SUM(P30+P29+P28+P27+P26+P25+P24+P23+P22+P21+P20+P19+P18+P15+P12+P11+P10+P9+P8)</f>
        <v>59.467285000000004</v>
      </c>
      <c r="Q34" s="77">
        <f t="shared" si="7"/>
        <v>4.7262319999999995</v>
      </c>
      <c r="R34" s="77">
        <f>SUM(D34+F34+H34+J34+L34+N34+P34)</f>
        <v>367.1761076345401</v>
      </c>
      <c r="S34" s="77">
        <f>SUM(E34+G34+I34+K34+M34+O34+Q34)-0.000001+0.0003</f>
        <v>20.800621437972158</v>
      </c>
      <c r="T34" s="4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11"/>
      <c r="K35" s="50"/>
      <c r="L35" s="11"/>
      <c r="M35" s="50"/>
      <c r="N35" s="11"/>
      <c r="O35" s="50"/>
      <c r="P35" s="11"/>
      <c r="Q35" s="50"/>
      <c r="R35" s="11"/>
      <c r="S35" s="50"/>
    </row>
    <row r="36" spans="2:19" ht="12.75">
      <c r="B36" s="34"/>
      <c r="G36" s="49"/>
      <c r="K36" s="48"/>
      <c r="P36" s="48"/>
      <c r="S36" s="48"/>
    </row>
    <row r="37" spans="2:11" ht="12.75">
      <c r="B37" s="35"/>
      <c r="C37" s="42"/>
      <c r="I37" s="48"/>
      <c r="K37" s="48"/>
    </row>
    <row r="38" ht="12" customHeight="1">
      <c r="B38" s="36"/>
    </row>
    <row r="39" ht="12.75">
      <c r="I39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Header>&amp;CPSR 2000-2006</oddHeader>
    <oddFooter>&amp;L&amp;P
&amp;N&amp;C&amp;"Arial Narrow,Normale"&amp;10&amp;F&amp;R&amp;A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O41"/>
  <sheetViews>
    <sheetView showGridLines="0" showZeros="0" workbookViewId="0" topLeftCell="A5">
      <pane xSplit="2" ySplit="3" topLeftCell="J8" activePane="bottomRight" state="frozen"/>
      <selection pane="topLeft" activeCell="A8" sqref="A8"/>
      <selection pane="topRight" activeCell="A8" sqref="A8"/>
      <selection pane="bottomLeft" activeCell="A8" sqref="A8"/>
      <selection pane="bottomRight" activeCell="P34" sqref="P34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41" width="9.140625" style="4" customWidth="1"/>
    <col min="42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10" ht="12.75">
      <c r="A3" s="26" t="s">
        <v>50</v>
      </c>
      <c r="B3" s="33"/>
      <c r="I3" s="4">
        <f>0.258325-0.258089</f>
        <v>0.00023600000000001398</v>
      </c>
      <c r="J3" s="48">
        <f>+I13-I3</f>
        <v>0.240528</v>
      </c>
    </row>
    <row r="5" spans="1:41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43</v>
      </c>
      <c r="F7" s="14" t="s">
        <v>2</v>
      </c>
      <c r="G7" s="14" t="s">
        <v>43</v>
      </c>
      <c r="H7" s="14" t="s">
        <v>2</v>
      </c>
      <c r="I7" s="14" t="s">
        <v>43</v>
      </c>
      <c r="J7" s="90" t="s">
        <v>2</v>
      </c>
      <c r="K7" s="90" t="s">
        <v>43</v>
      </c>
      <c r="L7" s="90" t="s">
        <v>2</v>
      </c>
      <c r="M7" s="90" t="s">
        <v>43</v>
      </c>
      <c r="N7" s="90" t="s">
        <v>2</v>
      </c>
      <c r="O7" s="90" t="s">
        <v>43</v>
      </c>
      <c r="P7" s="90" t="s">
        <v>2</v>
      </c>
      <c r="Q7" s="90" t="s">
        <v>43</v>
      </c>
      <c r="R7" s="90" t="s">
        <v>2</v>
      </c>
      <c r="S7" s="90" t="s">
        <v>43</v>
      </c>
    </row>
    <row r="8" spans="1:20" s="4" customFormat="1" ht="22.5">
      <c r="A8" s="88">
        <v>1</v>
      </c>
      <c r="B8" s="88" t="s">
        <v>56</v>
      </c>
      <c r="C8" s="6" t="s">
        <v>14</v>
      </c>
      <c r="D8" s="75">
        <v>0.117857</v>
      </c>
      <c r="E8" s="75">
        <v>0</v>
      </c>
      <c r="F8" s="75">
        <f>4.366-0.057</f>
        <v>4.308999999999999</v>
      </c>
      <c r="G8" s="75">
        <f>0.9492482</f>
        <v>0.9492482</v>
      </c>
      <c r="H8" s="75">
        <v>5.923</v>
      </c>
      <c r="I8" s="75">
        <v>1.29286565</v>
      </c>
      <c r="J8" s="76">
        <f>+'1) costi totali + UE'!J8</f>
        <v>6.113333333333334</v>
      </c>
      <c r="K8" s="76">
        <f>+J8*0.21</f>
        <v>1.2838</v>
      </c>
      <c r="L8" s="76">
        <f>+'1) costi totali + UE'!L8</f>
        <v>8.905</v>
      </c>
      <c r="M8" s="76">
        <v>1.87005</v>
      </c>
      <c r="N8" s="76">
        <f>+'1) costi totali + UE'!N8</f>
        <v>8.859</v>
      </c>
      <c r="O8" s="76">
        <v>1.86039</v>
      </c>
      <c r="P8" s="76">
        <f>+'1) costi totali + UE'!P8</f>
        <v>9.773143</v>
      </c>
      <c r="Q8" s="76">
        <f>1.958096+0.18935-0.1638</f>
        <v>1.983646</v>
      </c>
      <c r="R8" s="76">
        <f aca="true" t="shared" si="0" ref="R8:S11">+P8+N8+L8+J8+H8+F8+D8</f>
        <v>44.00033333333334</v>
      </c>
      <c r="S8" s="76">
        <f t="shared" si="0"/>
        <v>9.23999985</v>
      </c>
      <c r="T8" s="5"/>
    </row>
    <row r="9" spans="1:19" ht="12.75">
      <c r="A9" s="88">
        <v>2</v>
      </c>
      <c r="B9" s="88" t="s">
        <v>57</v>
      </c>
      <c r="C9" s="6" t="s">
        <v>15</v>
      </c>
      <c r="D9" s="75">
        <v>0.03125</v>
      </c>
      <c r="E9" s="75">
        <v>0</v>
      </c>
      <c r="F9" s="75">
        <v>0.575</v>
      </c>
      <c r="G9" s="75">
        <v>0.20124998</v>
      </c>
      <c r="H9" s="75">
        <v>1.4975</v>
      </c>
      <c r="I9" s="75">
        <v>0.524125</v>
      </c>
      <c r="J9" s="76">
        <f>+'1) costi totali + UE'!J9</f>
        <v>1.12</v>
      </c>
      <c r="K9" s="76">
        <f>+J9*0.35</f>
        <v>0.392</v>
      </c>
      <c r="L9" s="76">
        <f>+'1) costi totali + UE'!L9</f>
        <v>0.885307</v>
      </c>
      <c r="M9" s="76">
        <v>0.3101</v>
      </c>
      <c r="N9" s="76">
        <f>+'1) costi totali + UE'!N9</f>
        <v>0.887</v>
      </c>
      <c r="O9" s="76">
        <v>0.3101</v>
      </c>
      <c r="P9" s="76">
        <f>+'1) costi totali + UE'!P9</f>
        <v>0.8559430000000001</v>
      </c>
      <c r="Q9" s="76">
        <f>0.392325-0.0819</f>
        <v>0.31042499999999995</v>
      </c>
      <c r="R9" s="76">
        <f t="shared" si="0"/>
        <v>5.852</v>
      </c>
      <c r="S9" s="76">
        <f>+Q9+O9+M9+K9+I9+G9+E9</f>
        <v>2.0479999799999997</v>
      </c>
    </row>
    <row r="10" spans="1:19" ht="12.75">
      <c r="A10" s="88">
        <v>3</v>
      </c>
      <c r="B10" s="88" t="s">
        <v>58</v>
      </c>
      <c r="C10" s="6" t="s">
        <v>16</v>
      </c>
      <c r="D10" s="75">
        <v>0.006696</v>
      </c>
      <c r="E10" s="75">
        <v>0</v>
      </c>
      <c r="F10" s="75">
        <v>0</v>
      </c>
      <c r="G10" s="75">
        <v>0</v>
      </c>
      <c r="H10" s="75">
        <v>0</v>
      </c>
      <c r="I10" s="75">
        <f>+H10*0.5</f>
        <v>0</v>
      </c>
      <c r="J10" s="76">
        <f>+'1) costi totali + UE'!J10</f>
        <v>0</v>
      </c>
      <c r="K10" s="76">
        <f>+J10*0.5</f>
        <v>0</v>
      </c>
      <c r="L10" s="76">
        <f>+'1) costi totali + UE'!L10</f>
        <v>0</v>
      </c>
      <c r="M10" s="76">
        <f>+L10*0.5</f>
        <v>0</v>
      </c>
      <c r="N10" s="76">
        <f>+'1) costi totali + UE'!N10</f>
        <v>0</v>
      </c>
      <c r="O10" s="76">
        <f>+N10*0.5</f>
        <v>0</v>
      </c>
      <c r="P10" s="76">
        <f>+'1) costi totali + UE'!P10</f>
        <v>0</v>
      </c>
      <c r="Q10" s="76">
        <v>0</v>
      </c>
      <c r="R10" s="76">
        <f t="shared" si="0"/>
        <v>0.006696</v>
      </c>
      <c r="S10" s="76">
        <f t="shared" si="0"/>
        <v>0</v>
      </c>
    </row>
    <row r="11" spans="1:19" ht="12.75">
      <c r="A11" s="88">
        <v>4</v>
      </c>
      <c r="B11" s="88" t="s">
        <v>59</v>
      </c>
      <c r="C11" s="6" t="s">
        <v>17</v>
      </c>
      <c r="D11" s="75">
        <v>0.001786</v>
      </c>
      <c r="E11" s="75">
        <v>0</v>
      </c>
      <c r="F11" s="75">
        <v>0</v>
      </c>
      <c r="G11" s="75">
        <f>+F11*0.375</f>
        <v>0</v>
      </c>
      <c r="H11" s="75">
        <v>0</v>
      </c>
      <c r="I11" s="75">
        <f>+H11*0.375</f>
        <v>0</v>
      </c>
      <c r="J11" s="76">
        <f>+'1) costi totali + UE'!J11</f>
        <v>0</v>
      </c>
      <c r="K11" s="76">
        <f>+J11*0.375</f>
        <v>0</v>
      </c>
      <c r="L11" s="76">
        <f>+'1) costi totali + UE'!L11</f>
        <v>0</v>
      </c>
      <c r="M11" s="76">
        <f>+L11*0.375</f>
        <v>0</v>
      </c>
      <c r="N11" s="76">
        <f>+'1) costi totali + UE'!N11</f>
        <v>0</v>
      </c>
      <c r="O11" s="76">
        <f>+N11*0.375</f>
        <v>0</v>
      </c>
      <c r="P11" s="76">
        <f>+'1) costi totali + UE'!P11</f>
        <v>0</v>
      </c>
      <c r="Q11" s="76">
        <v>0</v>
      </c>
      <c r="R11" s="76">
        <f t="shared" si="0"/>
        <v>0.001786</v>
      </c>
      <c r="S11" s="76">
        <f t="shared" si="0"/>
        <v>0</v>
      </c>
    </row>
    <row r="12" spans="1:20" s="4" customFormat="1" ht="45">
      <c r="A12" s="88" t="s">
        <v>21</v>
      </c>
      <c r="B12" s="88" t="s">
        <v>72</v>
      </c>
      <c r="C12" s="6" t="s">
        <v>39</v>
      </c>
      <c r="D12" s="75">
        <v>0.040179</v>
      </c>
      <c r="E12" s="75">
        <v>0</v>
      </c>
      <c r="F12" s="75">
        <f>SUM(F13:F14)</f>
        <v>1.778</v>
      </c>
      <c r="G12" s="75">
        <f aca="true" t="shared" si="1" ref="G12:O12">SUM(G13:G14)</f>
        <v>0.36078115</v>
      </c>
      <c r="H12" s="75">
        <f t="shared" si="1"/>
        <v>1.16</v>
      </c>
      <c r="I12" s="75">
        <f t="shared" si="1"/>
        <v>0.258089</v>
      </c>
      <c r="J12" s="76">
        <f>+'1) costi totali + UE'!J12</f>
        <v>2.4866666666666664</v>
      </c>
      <c r="K12" s="76">
        <f t="shared" si="1"/>
        <v>0.6096999999999999</v>
      </c>
      <c r="L12" s="76">
        <f>+'1) costi totali + UE'!L12</f>
        <v>3.153</v>
      </c>
      <c r="M12" s="76">
        <f t="shared" si="1"/>
        <v>0.81963</v>
      </c>
      <c r="N12" s="76">
        <f>+'1) costi totali + UE'!N12</f>
        <v>2.947</v>
      </c>
      <c r="O12" s="76">
        <f t="shared" si="1"/>
        <v>0.77637</v>
      </c>
      <c r="P12" s="76">
        <f>+'1) costi totali + UE'!P12</f>
        <v>4.794821</v>
      </c>
      <c r="Q12" s="76">
        <f>SUM(Q13:Q14)</f>
        <v>1.55643</v>
      </c>
      <c r="R12" s="76">
        <f>SUM(P12+N12+L12+J12+H12+F12+D12)</f>
        <v>16.359666666666666</v>
      </c>
      <c r="S12" s="76">
        <f aca="true" t="shared" si="2" ref="S12:S17">SUM(Q12+O12+M12+K12+I12+G12)</f>
        <v>4.38100015</v>
      </c>
      <c r="T12" s="48"/>
    </row>
    <row r="13" spans="1:20" s="4" customFormat="1" ht="16.5" customHeight="1">
      <c r="A13" s="88" t="s">
        <v>22</v>
      </c>
      <c r="B13" s="88"/>
      <c r="C13" s="6" t="s">
        <v>24</v>
      </c>
      <c r="D13" s="75">
        <v>0.040179</v>
      </c>
      <c r="E13" s="75"/>
      <c r="F13" s="75">
        <v>1.778</v>
      </c>
      <c r="G13" s="75">
        <v>0.36078115</v>
      </c>
      <c r="H13" s="75">
        <v>1.115</v>
      </c>
      <c r="I13" s="75">
        <v>0.240764</v>
      </c>
      <c r="J13" s="76">
        <f>+'1) costi totali + UE'!J13</f>
        <v>1.9866666666666666</v>
      </c>
      <c r="K13" s="76">
        <f>+J13*0.21</f>
        <v>0.41719999999999996</v>
      </c>
      <c r="L13" s="76">
        <f>+'1) costi totali + UE'!L13</f>
        <v>2.253</v>
      </c>
      <c r="M13" s="76">
        <v>0.47313</v>
      </c>
      <c r="N13" s="76">
        <f>+'1) costi totali + UE'!N13</f>
        <v>2.047</v>
      </c>
      <c r="O13" s="76">
        <v>0.42987</v>
      </c>
      <c r="P13" s="76">
        <f>+'1) costi totali + UE'!P13</f>
        <v>1.739821</v>
      </c>
      <c r="Q13" s="76">
        <f>0.324325+0.05593</f>
        <v>0.38025499999999995</v>
      </c>
      <c r="R13" s="76">
        <f>SUM(P13+N13+L13+J13+H13+F13+D13)</f>
        <v>10.959666666666667</v>
      </c>
      <c r="S13" s="76">
        <f t="shared" si="2"/>
        <v>2.30200015</v>
      </c>
      <c r="T13" s="48"/>
    </row>
    <row r="14" spans="1:20" s="4" customFormat="1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f>+H14*0.385</f>
        <v>0.017325</v>
      </c>
      <c r="J14" s="76">
        <f>+'1) costi totali + UE'!J14</f>
        <v>0.5</v>
      </c>
      <c r="K14" s="76">
        <f>+J14*0.385</f>
        <v>0.1925</v>
      </c>
      <c r="L14" s="76">
        <f>+'1) costi totali + UE'!L14</f>
        <v>0.9</v>
      </c>
      <c r="M14" s="76">
        <v>0.3465</v>
      </c>
      <c r="N14" s="76">
        <f>+'1) costi totali + UE'!N14</f>
        <v>0.9</v>
      </c>
      <c r="O14" s="76">
        <v>0.3465</v>
      </c>
      <c r="P14" s="76">
        <f>+'1) costi totali + UE'!P14</f>
        <v>3.0549999999999997</v>
      </c>
      <c r="Q14" s="76">
        <f>1.022175+0.154</f>
        <v>1.176175</v>
      </c>
      <c r="R14" s="76">
        <f>SUM(P14+N14+L14+J14+H14+F14)</f>
        <v>5.3999999999999995</v>
      </c>
      <c r="S14" s="76">
        <f t="shared" si="2"/>
        <v>2.079</v>
      </c>
      <c r="T14" s="5"/>
    </row>
    <row r="15" spans="1:20" ht="45">
      <c r="A15" s="88" t="s">
        <v>11</v>
      </c>
      <c r="B15" s="88" t="s">
        <v>60</v>
      </c>
      <c r="C15" s="6" t="s">
        <v>18</v>
      </c>
      <c r="D15" s="75">
        <v>0.1455</v>
      </c>
      <c r="E15" s="75">
        <v>0</v>
      </c>
      <c r="F15" s="75">
        <f>SUM(F16:F17)</f>
        <v>0.125</v>
      </c>
      <c r="G15" s="75">
        <f aca="true" t="shared" si="3" ref="G15:O15">SUM(G16:G17)</f>
        <v>0.031</v>
      </c>
      <c r="H15" s="75">
        <f t="shared" si="3"/>
        <v>1.075</v>
      </c>
      <c r="I15" s="75">
        <f>SUM(I16:I17)</f>
        <v>0.20299999999999999</v>
      </c>
      <c r="J15" s="76">
        <f>+'1) costi totali + UE'!J15</f>
        <v>0.833</v>
      </c>
      <c r="K15" s="76">
        <f t="shared" si="3"/>
        <v>0.169418</v>
      </c>
      <c r="L15" s="76">
        <f>+'1) costi totali + UE'!L15</f>
        <v>0.9</v>
      </c>
      <c r="M15" s="76">
        <f t="shared" si="3"/>
        <v>0.1942833</v>
      </c>
      <c r="N15" s="76">
        <f>+'1) costi totali + UE'!N15</f>
        <v>0.9</v>
      </c>
      <c r="O15" s="76">
        <f t="shared" si="3"/>
        <v>0.1942833</v>
      </c>
      <c r="P15" s="76">
        <f>+'1) costi totali + UE'!P15</f>
        <v>1.4215</v>
      </c>
      <c r="Q15" s="76">
        <f>SUM(Q16:Q17)+0.001</f>
        <v>0.385015</v>
      </c>
      <c r="R15" s="76">
        <f>SUM(P15+N15+L15+J15+H15+F15+D15)</f>
        <v>5.4</v>
      </c>
      <c r="S15" s="76">
        <f t="shared" si="2"/>
        <v>1.1769996</v>
      </c>
      <c r="T15" s="48"/>
    </row>
    <row r="16" spans="1:20" ht="45">
      <c r="A16" s="88" t="s">
        <v>12</v>
      </c>
      <c r="B16" s="88"/>
      <c r="C16" s="6" t="s">
        <v>19</v>
      </c>
      <c r="D16" s="75">
        <v>0.1455</v>
      </c>
      <c r="E16" s="75"/>
      <c r="F16" s="75">
        <v>0.08</v>
      </c>
      <c r="G16" s="75">
        <v>0.014</v>
      </c>
      <c r="H16" s="75">
        <v>1.005</v>
      </c>
      <c r="I16" s="75">
        <v>0.176</v>
      </c>
      <c r="J16" s="76">
        <f>+'1) costi totali + UE'!J16</f>
        <v>0.717</v>
      </c>
      <c r="K16" s="76">
        <v>0.124758</v>
      </c>
      <c r="L16" s="76">
        <f>+'1) costi totali + UE'!L16</f>
        <v>0.716667</v>
      </c>
      <c r="M16" s="76">
        <v>0.1237</v>
      </c>
      <c r="N16" s="76">
        <f>+'1) costi totali + UE'!N16</f>
        <v>0.716667</v>
      </c>
      <c r="O16" s="76">
        <v>0.1237</v>
      </c>
      <c r="P16" s="76">
        <f>+'1) costi totali + UE'!P16</f>
        <v>0.9191659999999999</v>
      </c>
      <c r="Q16" s="76">
        <v>0.189842</v>
      </c>
      <c r="R16" s="76">
        <f>SUM(P16+N16+L16+J16+H16+F16+D16)</f>
        <v>4.300000000000001</v>
      </c>
      <c r="S16" s="76">
        <f t="shared" si="2"/>
        <v>0.752</v>
      </c>
      <c r="T16" s="48"/>
    </row>
    <row r="17" spans="1:20" ht="67.5">
      <c r="A17" s="88" t="s">
        <v>13</v>
      </c>
      <c r="B17" s="88"/>
      <c r="C17" s="6" t="s">
        <v>20</v>
      </c>
      <c r="D17" s="75"/>
      <c r="E17" s="75"/>
      <c r="F17" s="75">
        <v>0.045</v>
      </c>
      <c r="G17" s="75">
        <v>0.017</v>
      </c>
      <c r="H17" s="75">
        <v>0.07</v>
      </c>
      <c r="I17" s="75">
        <v>0.027</v>
      </c>
      <c r="J17" s="76">
        <f>+'1) costi totali + UE'!J17</f>
        <v>0.116</v>
      </c>
      <c r="K17" s="76">
        <f>+J17*0.385</f>
        <v>0.044660000000000005</v>
      </c>
      <c r="L17" s="76">
        <f>+'1) costi totali + UE'!L17</f>
        <v>0.183333</v>
      </c>
      <c r="M17" s="76">
        <v>0.0705833</v>
      </c>
      <c r="N17" s="76">
        <f>+'1) costi totali + UE'!N17</f>
        <v>0.183333</v>
      </c>
      <c r="O17" s="76">
        <v>0.0705833</v>
      </c>
      <c r="P17" s="76">
        <f>+'1) costi totali + UE'!P17</f>
        <v>0.5023340000000001</v>
      </c>
      <c r="Q17" s="76">
        <f>0.168378+0.025795</f>
        <v>0.19417299999999998</v>
      </c>
      <c r="R17" s="76">
        <f>SUM(P17+N17+L17+J17+H17+F17)</f>
        <v>1.0999999999999999</v>
      </c>
      <c r="S17" s="76">
        <f t="shared" si="2"/>
        <v>0.42399960000000003</v>
      </c>
      <c r="T17" s="48"/>
    </row>
    <row r="18" spans="1:19" ht="33.75">
      <c r="A18" s="88"/>
      <c r="B18" s="88" t="s">
        <v>61</v>
      </c>
      <c r="C18" s="6" t="s">
        <v>7</v>
      </c>
      <c r="D18" s="75">
        <v>0.019107</v>
      </c>
      <c r="E18" s="75">
        <v>0</v>
      </c>
      <c r="F18" s="75">
        <f>0.642-0.642</f>
        <v>0</v>
      </c>
      <c r="G18" s="75">
        <f>+F18*0.5</f>
        <v>0</v>
      </c>
      <c r="H18" s="75">
        <v>0</v>
      </c>
      <c r="I18" s="75">
        <f>+H18*0.5</f>
        <v>0</v>
      </c>
      <c r="J18" s="76">
        <f>+'1) costi totali + UE'!J18</f>
        <v>0</v>
      </c>
      <c r="K18" s="76">
        <v>0</v>
      </c>
      <c r="L18" s="76">
        <f>+'1) costi totali + UE'!L18</f>
        <v>0</v>
      </c>
      <c r="M18" s="76">
        <v>0</v>
      </c>
      <c r="N18" s="76">
        <f>+'1) costi totali + UE'!N18</f>
        <v>0</v>
      </c>
      <c r="O18" s="76">
        <v>0</v>
      </c>
      <c r="P18" s="76">
        <f>+'1) costi totali + UE'!P18</f>
        <v>0</v>
      </c>
      <c r="Q18" s="76">
        <v>0</v>
      </c>
      <c r="R18" s="76">
        <f aca="true" t="shared" si="4" ref="R18:S21">+P18+N18+L18+J18+H18+F18+D18</f>
        <v>0.019107</v>
      </c>
      <c r="S18" s="76">
        <f t="shared" si="4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0.160714</v>
      </c>
      <c r="E19" s="75">
        <v>0</v>
      </c>
      <c r="F19" s="75">
        <v>13.91558</v>
      </c>
      <c r="G19" s="75">
        <v>2.43522649</v>
      </c>
      <c r="H19" s="75">
        <v>14.258</v>
      </c>
      <c r="I19" s="75">
        <v>2.49521386</v>
      </c>
      <c r="J19" s="76">
        <f>+'1) costi totali + UE'!J19</f>
        <v>14.666666666666668</v>
      </c>
      <c r="K19" s="76">
        <f>+J19*0.175</f>
        <v>2.566666666666667</v>
      </c>
      <c r="L19" s="76">
        <f>+'1) costi totali + UE'!L19</f>
        <v>10.1</v>
      </c>
      <c r="M19" s="76">
        <v>1.7675</v>
      </c>
      <c r="N19" s="76">
        <f>+'1) costi totali + UE'!N19</f>
        <v>11.1</v>
      </c>
      <c r="O19" s="76">
        <v>1.9425</v>
      </c>
      <c r="P19" s="76">
        <f>+'1) costi totali + UE'!P19</f>
        <v>3.9653720000000003</v>
      </c>
      <c r="Q19" s="76">
        <f>1.38456-0.425834-0.236833</f>
        <v>0.721893</v>
      </c>
      <c r="R19" s="76">
        <f t="shared" si="4"/>
        <v>68.16633266666666</v>
      </c>
      <c r="S19" s="76">
        <f>+Q19+O19+M19+K19+I19+G19+E19</f>
        <v>11.929000016666667</v>
      </c>
    </row>
    <row r="20" spans="1:19" ht="33.75">
      <c r="A20" s="88">
        <v>7</v>
      </c>
      <c r="B20" s="88" t="s">
        <v>67</v>
      </c>
      <c r="C20" s="6" t="s">
        <v>26</v>
      </c>
      <c r="D20" s="75">
        <v>0.004464</v>
      </c>
      <c r="E20" s="75">
        <v>0</v>
      </c>
      <c r="F20" s="75">
        <v>0</v>
      </c>
      <c r="G20" s="75">
        <v>0</v>
      </c>
      <c r="H20" s="75">
        <v>0</v>
      </c>
      <c r="I20" s="75">
        <f>+H20*0.353</f>
        <v>0</v>
      </c>
      <c r="J20" s="76">
        <f>+'1) costi totali + UE'!J20</f>
        <v>0</v>
      </c>
      <c r="K20" s="76">
        <f>+J20*0.353</f>
        <v>0</v>
      </c>
      <c r="L20" s="76">
        <f>+'1) costi totali + UE'!L20</f>
        <v>0</v>
      </c>
      <c r="M20" s="76">
        <f>+L20*0.353</f>
        <v>0</v>
      </c>
      <c r="N20" s="76">
        <f>+'1) costi totali + UE'!N20</f>
        <v>0</v>
      </c>
      <c r="O20" s="76">
        <f>+N20*0.353</f>
        <v>0</v>
      </c>
      <c r="P20" s="76">
        <f>+'1) costi totali + UE'!P20</f>
        <v>0</v>
      </c>
      <c r="Q20" s="76">
        <v>0</v>
      </c>
      <c r="R20" s="76">
        <f t="shared" si="4"/>
        <v>0.004464</v>
      </c>
      <c r="S20" s="76">
        <f t="shared" si="4"/>
        <v>0</v>
      </c>
    </row>
    <row r="21" spans="1:19" ht="12.75">
      <c r="A21" s="88">
        <v>8</v>
      </c>
      <c r="B21" s="88" t="s">
        <v>62</v>
      </c>
      <c r="C21" s="6" t="s">
        <v>27</v>
      </c>
      <c r="D21" s="75">
        <v>0.006696</v>
      </c>
      <c r="E21" s="75">
        <v>0</v>
      </c>
      <c r="F21" s="75">
        <v>0.075</v>
      </c>
      <c r="G21" s="75">
        <v>0.02625018</v>
      </c>
      <c r="H21" s="75">
        <v>0.135</v>
      </c>
      <c r="I21" s="75">
        <v>0.04725</v>
      </c>
      <c r="J21" s="76">
        <f>+'1) costi totali + UE'!J21</f>
        <v>0.135</v>
      </c>
      <c r="K21" s="76">
        <v>0.04725</v>
      </c>
      <c r="L21" s="76">
        <f>+'1) costi totali + UE'!L21</f>
        <v>0.135</v>
      </c>
      <c r="M21" s="76">
        <v>0.04725</v>
      </c>
      <c r="N21" s="76">
        <f>+'1) costi totali + UE'!N21</f>
        <v>0.1355</v>
      </c>
      <c r="O21" s="76">
        <v>0.04725</v>
      </c>
      <c r="P21" s="76">
        <f>+'1) costi totali + UE'!P21</f>
        <v>0.127804</v>
      </c>
      <c r="Q21" s="76">
        <v>0.04775</v>
      </c>
      <c r="R21" s="76">
        <f t="shared" si="4"/>
        <v>0.75</v>
      </c>
      <c r="S21" s="76">
        <f>+Q21+O21+M21+K21+I21+G21+E21</f>
        <v>0.26300018000000003</v>
      </c>
    </row>
    <row r="22" spans="1:20" ht="45">
      <c r="A22" s="88">
        <v>9</v>
      </c>
      <c r="B22" s="88" t="s">
        <v>63</v>
      </c>
      <c r="C22" s="6" t="s">
        <v>28</v>
      </c>
      <c r="D22" s="75">
        <v>0.005357</v>
      </c>
      <c r="E22" s="75">
        <v>0</v>
      </c>
      <c r="F22" s="75">
        <v>0</v>
      </c>
      <c r="G22" s="75">
        <v>0</v>
      </c>
      <c r="H22" s="75">
        <v>0</v>
      </c>
      <c r="I22" s="75">
        <f>+H22*0.221</f>
        <v>0</v>
      </c>
      <c r="J22" s="76">
        <f>+'1) costi totali + UE'!J22</f>
        <v>0</v>
      </c>
      <c r="K22" s="76">
        <f>+J22*0.221</f>
        <v>0</v>
      </c>
      <c r="L22" s="76">
        <f>+'1) costi totali + UE'!L22</f>
        <v>0</v>
      </c>
      <c r="M22" s="76">
        <f>+L22*0.221</f>
        <v>0</v>
      </c>
      <c r="N22" s="76">
        <f>+'1) costi totali + UE'!N22</f>
        <v>0.168</v>
      </c>
      <c r="O22" s="76">
        <v>0.037128</v>
      </c>
      <c r="P22" s="76">
        <f>+'1) costi totali + UE'!P22</f>
        <v>0.356643</v>
      </c>
      <c r="Q22" s="76">
        <v>0.077872</v>
      </c>
      <c r="R22" s="76">
        <f aca="true" t="shared" si="5" ref="R22:S25">+P22+N22+L22+J22+H22+F22+D22</f>
        <v>0.5299999999999999</v>
      </c>
      <c r="S22" s="76">
        <f>+Q22+O22+M22+K22+I22+G22+E22</f>
        <v>0.11499999999999999</v>
      </c>
      <c r="T22" s="48">
        <f>0.115-S22</f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0.005357</v>
      </c>
      <c r="E23" s="75">
        <v>0</v>
      </c>
      <c r="F23" s="75">
        <v>0</v>
      </c>
      <c r="G23" s="75">
        <v>0</v>
      </c>
      <c r="H23" s="75">
        <v>0</v>
      </c>
      <c r="I23" s="75">
        <f>+H23*0.353</f>
        <v>0</v>
      </c>
      <c r="J23" s="76">
        <f>+'1) costi totali + UE'!J23</f>
        <v>0</v>
      </c>
      <c r="K23" s="76">
        <f>+J23*0.353</f>
        <v>0</v>
      </c>
      <c r="L23" s="76">
        <f>+'1) costi totali + UE'!L23</f>
        <v>0</v>
      </c>
      <c r="M23" s="76">
        <f>+L23*0.353</f>
        <v>0</v>
      </c>
      <c r="N23" s="76">
        <f>+'1) costi totali + UE'!N23</f>
        <v>0</v>
      </c>
      <c r="O23" s="76">
        <f>+N23*0.353</f>
        <v>0</v>
      </c>
      <c r="P23" s="76">
        <f>+'1) costi totali + UE'!P23</f>
        <v>0</v>
      </c>
      <c r="Q23" s="76">
        <v>0</v>
      </c>
      <c r="R23" s="76">
        <f t="shared" si="5"/>
        <v>0.005357</v>
      </c>
      <c r="S23" s="76">
        <f t="shared" si="5"/>
        <v>0</v>
      </c>
    </row>
    <row r="24" spans="1:20" ht="33.75">
      <c r="A24" s="88">
        <v>11</v>
      </c>
      <c r="B24" s="88" t="s">
        <v>69</v>
      </c>
      <c r="C24" s="6" t="s">
        <v>30</v>
      </c>
      <c r="D24" s="75">
        <v>0.064286</v>
      </c>
      <c r="E24" s="75">
        <v>0</v>
      </c>
      <c r="F24" s="75">
        <v>0</v>
      </c>
      <c r="G24" s="75">
        <f>+F24*0.353</f>
        <v>0</v>
      </c>
      <c r="H24" s="75">
        <v>0.998</v>
      </c>
      <c r="I24" s="75">
        <v>0.35211686</v>
      </c>
      <c r="J24" s="76">
        <f>+'1) costi totali + UE'!J24</f>
        <v>1.6216216216216217</v>
      </c>
      <c r="K24" s="76">
        <f>+J24*0.353</f>
        <v>0.5724324324324325</v>
      </c>
      <c r="L24" s="76">
        <f>+'1) costi totali + UE'!L24</f>
        <v>2.491</v>
      </c>
      <c r="M24" s="76">
        <v>0.879323</v>
      </c>
      <c r="N24" s="76">
        <f>+'1) costi totali + UE'!N24</f>
        <v>2.333</v>
      </c>
      <c r="O24" s="76">
        <v>0.821549</v>
      </c>
      <c r="P24" s="76">
        <f>+'1) costi totali + UE'!P24</f>
        <v>4.64247</v>
      </c>
      <c r="Q24" s="76">
        <f>1.353041-0.314597+0.620135</f>
        <v>1.658579</v>
      </c>
      <c r="R24" s="76">
        <f t="shared" si="5"/>
        <v>12.15037762162162</v>
      </c>
      <c r="S24" s="76">
        <f t="shared" si="5"/>
        <v>4.284000292432433</v>
      </c>
      <c r="T24" s="48"/>
    </row>
    <row r="25" spans="1:20" ht="22.5">
      <c r="A25" s="88">
        <v>12</v>
      </c>
      <c r="B25" s="88" t="s">
        <v>70</v>
      </c>
      <c r="C25" s="6" t="s">
        <v>31</v>
      </c>
      <c r="D25" s="75">
        <v>0.108179</v>
      </c>
      <c r="E25" s="75">
        <v>0</v>
      </c>
      <c r="F25" s="75">
        <v>2.76</v>
      </c>
      <c r="G25" s="75">
        <v>0.97428005</v>
      </c>
      <c r="H25" s="75">
        <v>1.791</v>
      </c>
      <c r="I25" s="75">
        <v>0.58180028</v>
      </c>
      <c r="J25" s="76">
        <f>+'1) costi totali + UE'!J25</f>
        <v>4.721030042918455</v>
      </c>
      <c r="K25" s="76">
        <f>+J25*0.278</f>
        <v>1.3124463519313307</v>
      </c>
      <c r="L25" s="76">
        <f>+'1) costi totali + UE'!L25</f>
        <v>3.343</v>
      </c>
      <c r="M25" s="76">
        <v>0.929354</v>
      </c>
      <c r="N25" s="76">
        <f>+'1) costi totali + UE'!N25</f>
        <v>4.137</v>
      </c>
      <c r="O25" s="76">
        <v>1.150086</v>
      </c>
      <c r="P25" s="76">
        <f>+'1) costi totali + UE'!P25</f>
        <v>6.538821</v>
      </c>
      <c r="Q25" s="76">
        <f>1.941238-0.384205</f>
        <v>1.5570330000000001</v>
      </c>
      <c r="R25" s="76">
        <f t="shared" si="5"/>
        <v>23.399030042918454</v>
      </c>
      <c r="S25" s="76">
        <f>+Q25+O25+M25+K25+I25+G25+E25</f>
        <v>6.50499968193133</v>
      </c>
      <c r="T25" s="48"/>
    </row>
    <row r="26" spans="1:20" ht="12.75">
      <c r="A26" s="88">
        <v>13</v>
      </c>
      <c r="B26" s="88" t="s">
        <v>64</v>
      </c>
      <c r="C26" s="6" t="s">
        <v>32</v>
      </c>
      <c r="D26" s="121">
        <v>1.12625</v>
      </c>
      <c r="E26" s="75">
        <v>0</v>
      </c>
      <c r="F26" s="75">
        <f>11.3217522</f>
        <v>11.3217522</v>
      </c>
      <c r="G26" s="75">
        <v>5.6608761</v>
      </c>
      <c r="H26" s="75">
        <v>16.95335428</v>
      </c>
      <c r="I26" s="75">
        <v>8.47667714</v>
      </c>
      <c r="J26" s="76">
        <f>+'1) costi totali + UE'!J26</f>
        <v>2.587332</v>
      </c>
      <c r="K26" s="76">
        <v>1.293666</v>
      </c>
      <c r="L26" s="76">
        <f>+'1) costi totali + UE'!L26</f>
        <v>15.75</v>
      </c>
      <c r="M26" s="76">
        <v>7.875</v>
      </c>
      <c r="N26" s="76">
        <f>+'1) costi totali + UE'!N26</f>
        <v>15.484</v>
      </c>
      <c r="O26" s="76">
        <v>7.742</v>
      </c>
      <c r="P26" s="76">
        <f>+'1) costi totali + UE'!P26</f>
        <v>14.587311999999999</v>
      </c>
      <c r="Q26" s="76">
        <v>7.856447</v>
      </c>
      <c r="R26" s="76">
        <f>P26+N26+L26+J26+H26+F26+D26</f>
        <v>77.81000048</v>
      </c>
      <c r="S26" s="76">
        <f>Q26+O26+M26+K26+I26+G26+E26</f>
        <v>38.904666240000005</v>
      </c>
      <c r="T26" s="5"/>
    </row>
    <row r="27" spans="1:22" ht="12.75">
      <c r="A27" s="88"/>
      <c r="B27" s="88"/>
      <c r="C27" s="6" t="s">
        <v>5</v>
      </c>
      <c r="D27" s="121">
        <v>31.308258</v>
      </c>
      <c r="E27" s="75">
        <v>15.65412905</v>
      </c>
      <c r="F27" s="75">
        <f>2.0217454+0.003332</f>
        <v>2.0250774</v>
      </c>
      <c r="G27" s="75">
        <v>1.01075154</v>
      </c>
      <c r="H27" s="75">
        <v>0.75170132</v>
      </c>
      <c r="I27" s="75">
        <v>0.37585066</v>
      </c>
      <c r="J27" s="76">
        <f>+'1) costi totali + UE'!J27</f>
        <v>14.244963</v>
      </c>
      <c r="K27" s="76">
        <v>7.124269</v>
      </c>
      <c r="L27" s="76">
        <f>+'1) costi totali + UE'!L27</f>
        <v>0</v>
      </c>
      <c r="M27" s="76">
        <v>0</v>
      </c>
      <c r="N27" s="76">
        <f>+'1) costi totali + UE'!N27</f>
        <v>0</v>
      </c>
      <c r="O27" s="76">
        <v>0</v>
      </c>
      <c r="P27" s="76">
        <f>+'1) costi totali + UE'!P27</f>
        <v>0</v>
      </c>
      <c r="Q27" s="76">
        <v>0</v>
      </c>
      <c r="R27" s="76">
        <f>P27+N27+L27+J27+H27+F27+D27</f>
        <v>48.32999972</v>
      </c>
      <c r="S27" s="76">
        <f>Q27+O27+M27+K27+I27+G27+E27</f>
        <v>24.16500025</v>
      </c>
      <c r="T27" s="48"/>
      <c r="U27" s="5"/>
      <c r="V27" s="5"/>
    </row>
    <row r="28" spans="1:19" ht="33.75">
      <c r="A28" s="88">
        <v>14</v>
      </c>
      <c r="B28" s="88" t="s">
        <v>65</v>
      </c>
      <c r="C28" s="6" t="s">
        <v>33</v>
      </c>
      <c r="D28" s="75">
        <v>0.271072</v>
      </c>
      <c r="E28" s="75">
        <v>0</v>
      </c>
      <c r="F28" s="75">
        <v>3.945877</v>
      </c>
      <c r="G28" s="75">
        <v>1.9729385</v>
      </c>
      <c r="H28" s="75">
        <v>6.53143032</v>
      </c>
      <c r="I28" s="75">
        <v>3.26571516</v>
      </c>
      <c r="J28" s="76">
        <f>+'1) costi totali + UE'!J28</f>
        <v>5.2</v>
      </c>
      <c r="K28" s="76">
        <f>+J28*0.5</f>
        <v>2.6</v>
      </c>
      <c r="L28" s="76">
        <f>+'1) costi totali + UE'!L28</f>
        <v>5.432</v>
      </c>
      <c r="M28" s="76">
        <v>2.716</v>
      </c>
      <c r="N28" s="76">
        <f>+'1) costi totali + UE'!N28</f>
        <v>5.442</v>
      </c>
      <c r="O28" s="76">
        <v>2.721</v>
      </c>
      <c r="P28" s="76">
        <f>+'1) costi totali + UE'!P28</f>
        <v>3.496221</v>
      </c>
      <c r="Q28" s="76">
        <f>1.787346+0.317-0.2</f>
        <v>1.904346</v>
      </c>
      <c r="R28" s="76">
        <f>SUM(D28+F28+H28+J28+L28+N28+P28)</f>
        <v>30.31860032</v>
      </c>
      <c r="S28" s="76">
        <f>SUM(E28+G28+I28+K28+M28+O28+Q28)</f>
        <v>15.17999966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0.004357</v>
      </c>
      <c r="E29" s="75">
        <v>0</v>
      </c>
      <c r="F29" s="75">
        <v>0</v>
      </c>
      <c r="G29" s="75">
        <v>0</v>
      </c>
      <c r="H29" s="75">
        <v>0</v>
      </c>
      <c r="I29" s="75">
        <f>+H29*0.221</f>
        <v>0</v>
      </c>
      <c r="J29" s="76">
        <f>+'1) costi totali + UE'!J29</f>
        <v>0</v>
      </c>
      <c r="K29" s="76">
        <f>+J29*0.221</f>
        <v>0</v>
      </c>
      <c r="L29" s="76">
        <f>+'1) costi totali + UE'!L29</f>
        <v>0</v>
      </c>
      <c r="M29" s="76">
        <f>+L29*0.221</f>
        <v>0</v>
      </c>
      <c r="N29" s="76">
        <f>+'1) costi totali + UE'!N29</f>
        <v>0</v>
      </c>
      <c r="O29" s="76">
        <f>+N29*0.221</f>
        <v>0</v>
      </c>
      <c r="P29" s="76">
        <f>+'1) costi totali + UE'!P29</f>
        <v>0</v>
      </c>
      <c r="Q29" s="76">
        <v>0</v>
      </c>
      <c r="R29" s="76">
        <f aca="true" t="shared" si="6" ref="R29:S32">+P29+N29+L29+J29+H29+F29+D29</f>
        <v>0.004357</v>
      </c>
      <c r="S29" s="76">
        <f t="shared" si="6"/>
        <v>0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7" ref="E30:O30">SUM(E31:E32)</f>
        <v>0</v>
      </c>
      <c r="F30" s="75">
        <f t="shared" si="7"/>
        <v>2.9090457499999998</v>
      </c>
      <c r="G30" s="75">
        <f t="shared" si="7"/>
        <v>0.488858</v>
      </c>
      <c r="H30" s="75">
        <f t="shared" si="7"/>
        <v>5.552014000000001</v>
      </c>
      <c r="I30" s="75">
        <f t="shared" si="7"/>
        <v>1.157618352</v>
      </c>
      <c r="J30" s="76">
        <f>+'1) costi totali + UE'!J30</f>
        <v>4.889705</v>
      </c>
      <c r="K30" s="76">
        <f t="shared" si="7"/>
        <v>1.2344982999999998</v>
      </c>
      <c r="L30" s="76">
        <f>+'1) costi totali + UE'!L30</f>
        <v>5.348</v>
      </c>
      <c r="M30" s="76">
        <f t="shared" si="7"/>
        <v>1.349031</v>
      </c>
      <c r="N30" s="76">
        <f>+'1) costi totali + UE'!N30</f>
        <v>6.462</v>
      </c>
      <c r="O30" s="76">
        <f t="shared" si="7"/>
        <v>1.6318663</v>
      </c>
      <c r="P30" s="76">
        <f>+'1) costi totali + UE'!P30</f>
        <v>8.907235</v>
      </c>
      <c r="Q30" s="76">
        <f>SUM(Q31:Q32)-0.003</f>
        <v>2.7401275999999997</v>
      </c>
      <c r="R30" s="76">
        <f t="shared" si="6"/>
        <v>34.06799975</v>
      </c>
      <c r="S30" s="76">
        <f>+Q30+O30+M30+K30+I30+G30+E30</f>
        <v>8.601999552</v>
      </c>
      <c r="U30" s="5"/>
    </row>
    <row r="31" spans="1:20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1.011</v>
      </c>
      <c r="I31" s="75">
        <v>0.393727</v>
      </c>
      <c r="J31" s="76">
        <f>+'1) costi totali + UE'!J31</f>
        <v>1.876351</v>
      </c>
      <c r="K31" s="76">
        <v>0.7290243</v>
      </c>
      <c r="L31" s="76">
        <f>+'1) costi totali + UE'!L31</f>
        <v>2.051606</v>
      </c>
      <c r="M31" s="76">
        <v>0.795824</v>
      </c>
      <c r="N31" s="76">
        <f>+'1) costi totali + UE'!N31</f>
        <v>2.479292</v>
      </c>
      <c r="O31" s="76">
        <v>0.9631823</v>
      </c>
      <c r="P31" s="76">
        <f>+'1) costi totali + UE'!P31</f>
        <v>5.649751</v>
      </c>
      <c r="Q31" s="76">
        <v>2.1952423</v>
      </c>
      <c r="R31" s="76">
        <f t="shared" si="6"/>
        <v>13.067999999999998</v>
      </c>
      <c r="S31" s="76">
        <f t="shared" si="6"/>
        <v>5.076999900000001</v>
      </c>
      <c r="T31" s="48"/>
    </row>
    <row r="32" spans="1:20" ht="22.5">
      <c r="A32" s="88" t="s">
        <v>10</v>
      </c>
      <c r="B32" s="88"/>
      <c r="C32" s="6" t="s">
        <v>37</v>
      </c>
      <c r="D32" s="75"/>
      <c r="E32" s="75"/>
      <c r="F32" s="75">
        <f>2.90981875-0.000773</f>
        <v>2.9090457499999998</v>
      </c>
      <c r="G32" s="75">
        <f>0.519858-G15</f>
        <v>0.488858</v>
      </c>
      <c r="H32" s="75">
        <f>4.541+0.000014</f>
        <v>4.5410140000000006</v>
      </c>
      <c r="I32" s="75">
        <f>+H32*0.168+0.001001</f>
        <v>0.7638913520000001</v>
      </c>
      <c r="J32" s="76">
        <f>+'1) costi totali + UE'!J32</f>
        <v>3.013354</v>
      </c>
      <c r="K32" s="76">
        <v>0.505474</v>
      </c>
      <c r="L32" s="76">
        <f>+'1) costi totali + UE'!L32</f>
        <v>3.296394</v>
      </c>
      <c r="M32" s="76">
        <v>0.553207</v>
      </c>
      <c r="N32" s="76">
        <f>+'1) costi totali + UE'!N32</f>
        <v>3.982708</v>
      </c>
      <c r="O32" s="76">
        <v>0.668684</v>
      </c>
      <c r="P32" s="76">
        <f>+'1) costi totali + UE'!P32</f>
        <v>3.257484</v>
      </c>
      <c r="Q32" s="76">
        <v>0.5478853</v>
      </c>
      <c r="R32" s="76">
        <f t="shared" si="6"/>
        <v>20.99999975</v>
      </c>
      <c r="S32" s="76">
        <f t="shared" si="6"/>
        <v>3.5279996519999997</v>
      </c>
      <c r="T32" s="48"/>
    </row>
    <row r="33" spans="1:19" s="4" customFormat="1" ht="12.75">
      <c r="A33" s="88"/>
      <c r="B33" s="88"/>
      <c r="C33" s="37" t="s">
        <v>53</v>
      </c>
      <c r="D33" s="75"/>
      <c r="E33" s="75"/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6">
        <f>+Q33+O33+M33+K33+I33+G33+E33</f>
        <v>0</v>
      </c>
    </row>
    <row r="34" spans="1:41" s="3" customFormat="1" ht="12.75">
      <c r="A34" s="89"/>
      <c r="B34" s="88"/>
      <c r="C34" s="38" t="s">
        <v>4</v>
      </c>
      <c r="D34" s="75">
        <f>SUM(D33+D30+D29+D28+D27+D26+D25+D24+D23+D22+D21+D20+D19+D18+D15+D12+D11+D10+D9+D8)</f>
        <v>33.42736499999999</v>
      </c>
      <c r="E34" s="75">
        <f>SUM(E30+E29+E28+E27+E26+E25+E24+E23+E22+E21+E20+E19+E18+E15+E12+E11+E10+E9+E8)</f>
        <v>15.65412905</v>
      </c>
      <c r="F34" s="75">
        <f>SUM(F30+F29+F28+F27+F26+F25+F24+F23+F22+F21+F20+F19+F18+F15+F12+F11+F10+F9+F8)</f>
        <v>43.73933235</v>
      </c>
      <c r="G34" s="75">
        <f>+G32+G31+G29+G28+G27+G26+G25+G24+G23+G22+G21+G20+G19+G18+G17+G16+G14+G13+G11+G10+G9+G8</f>
        <v>14.111460189999997</v>
      </c>
      <c r="H34" s="75">
        <f>SUM(H30+H29+H28+H27+H26+H25+H24+H23+H22+H21+H20+H19+H18+H15+H12+H11+H10+H9+H8)</f>
        <v>56.62599992</v>
      </c>
      <c r="I34" s="75">
        <f>+I32+I31+I29+I28+I27+I26+I25+I24+I23+I22+I21+I20+I19+I18+I17+I16+I14+I13+I11+I10+I9+I8</f>
        <v>19.030321962</v>
      </c>
      <c r="J34" s="77">
        <f>SUM(J30+J29+J28+J27+J26+J25+J24+J23+J22+J21+J20+J19+J18+J15+J12+J11+J10+J9+J8)</f>
        <v>58.61931833120674</v>
      </c>
      <c r="K34" s="77">
        <f>+K32+K31+K29+K28+K27+K26+K25+K24+K23+K22+K21+K20+K19+K18+K17+K16+K14+K13+K11+K10+K9+K8</f>
        <v>19.20614675103043</v>
      </c>
      <c r="L34" s="77">
        <f>SUM(L30+L29+L28+L27+L26+L25+L24+L23+L22+L21+L20+L19+L18+L15+L12+L11+L10+L9+L8)</f>
        <v>56.442307</v>
      </c>
      <c r="M34" s="77">
        <f>SUM(M30+M29+M28+M27+M26+M25+M24+M23+M22+M21+M20+M19+M18+M15+M12+M11+M10+M9+M8)</f>
        <v>18.757521299999997</v>
      </c>
      <c r="N34" s="77">
        <f>SUM(N30+N29+N28+N27+N26+N25+N24+N23+N22+N21+N20+N19+N18+N15+N12+N11+N10+N9+N8)</f>
        <v>58.8545</v>
      </c>
      <c r="O34" s="77">
        <f>SUM(O30+O29+O28+O27+O26+O25+O24+O23+O22+O21+O20+O19+O18+O15+O12+O11+O10+O9+O8)</f>
        <v>19.234522599999995</v>
      </c>
      <c r="P34" s="77">
        <f>SUM(P30+P29+P28+P27+P26+P25+P24+P23+P22+P21+P20+P19+P18+P15+P12+P11+P10+P9+P8)</f>
        <v>59.467285000000004</v>
      </c>
      <c r="Q34" s="77">
        <f>SUM(Q30+Q29+Q28+Q27+Q26+Q25+Q24+Q23+Q22+Q21+Q20+Q19+Q18+Q15+Q12+Q11+Q10+Q9+Q8)-0.005523</f>
        <v>20.7940406</v>
      </c>
      <c r="R34" s="77">
        <f>SUM(D34+F34+H34+J34+L34+N34+P34)</f>
        <v>367.17610760120675</v>
      </c>
      <c r="S34" s="77">
        <f>SUM(E34+G34+I34+K34+M34+O34+Q34)+0.000001</f>
        <v>126.78814345303041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50"/>
      <c r="K35" s="50"/>
      <c r="L35" s="11"/>
      <c r="M35" s="50"/>
      <c r="N35" s="11"/>
      <c r="O35" s="50"/>
      <c r="P35" s="11"/>
      <c r="Q35" s="50"/>
      <c r="R35" s="50"/>
      <c r="S35" s="50"/>
    </row>
    <row r="36" spans="2:19" ht="12.75">
      <c r="B36" s="34"/>
      <c r="G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19" ht="12.75">
      <c r="B37" s="35"/>
      <c r="C37" s="42"/>
      <c r="G37" s="49"/>
      <c r="I37" s="48"/>
      <c r="O37" s="48"/>
      <c r="Q37" s="48"/>
      <c r="S37" s="48"/>
    </row>
    <row r="38" spans="2:17" ht="12.75">
      <c r="B38" s="36"/>
      <c r="G38" s="49"/>
      <c r="I38" s="48"/>
      <c r="K38" s="48"/>
      <c r="M38" s="48"/>
      <c r="O38" s="48"/>
      <c r="Q38" s="48"/>
    </row>
    <row r="41" ht="12.75">
      <c r="P41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Header>&amp;CPSR 2000-2006</oddHeader>
    <oddFooter>&amp;L&amp;P
&amp;N&amp;C&amp;"Arial Narrow,Normale"&amp;10&amp;F&amp;R&amp;A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showGridLines="0" showZeros="0" tabSelected="1" workbookViewId="0" topLeftCell="O1">
      <pane ySplit="3" topLeftCell="BM4" activePane="bottomLeft" state="frozen"/>
      <selection pane="topLeft" activeCell="A8" sqref="A8"/>
      <selection pane="bottomLeft" activeCell="AB24" sqref="AB24"/>
    </sheetView>
  </sheetViews>
  <sheetFormatPr defaultColWidth="11.421875" defaultRowHeight="12"/>
  <cols>
    <col min="1" max="1" width="7.140625" style="35" bestFit="1" customWidth="1"/>
    <col min="2" max="2" width="6.140625" style="35" bestFit="1" customWidth="1"/>
    <col min="3" max="3" width="19.140625" style="44" customWidth="1"/>
    <col min="4" max="5" width="10.140625" style="20" bestFit="1" customWidth="1"/>
    <col min="6" max="6" width="6.8515625" style="20" bestFit="1" customWidth="1"/>
    <col min="7" max="7" width="10.140625" style="20" bestFit="1" customWidth="1"/>
    <col min="8" max="8" width="9.8515625" style="20" bestFit="1" customWidth="1"/>
    <col min="9" max="9" width="9.57421875" style="20" bestFit="1" customWidth="1"/>
    <col min="10" max="10" width="10.140625" style="20" bestFit="1" customWidth="1"/>
    <col min="11" max="11" width="9.8515625" style="20" bestFit="1" customWidth="1"/>
    <col min="12" max="24" width="9.57421875" style="20" bestFit="1" customWidth="1"/>
    <col min="25" max="27" width="10.57421875" style="20" bestFit="1" customWidth="1"/>
    <col min="28" max="28" width="10.421875" style="29" bestFit="1" customWidth="1"/>
    <col min="29" max="29" width="8.57421875" style="29" customWidth="1"/>
    <col min="30" max="16384" width="9.140625" style="20" customWidth="1"/>
  </cols>
  <sheetData>
    <row r="1" spans="1:29" s="31" customFormat="1" ht="12">
      <c r="A1" s="95"/>
      <c r="B1" s="96"/>
      <c r="C1" s="97"/>
      <c r="D1" s="144" t="s">
        <v>6</v>
      </c>
      <c r="E1" s="145"/>
      <c r="F1" s="146"/>
      <c r="G1" s="144" t="s">
        <v>6</v>
      </c>
      <c r="H1" s="145"/>
      <c r="I1" s="146"/>
      <c r="J1" s="144" t="s">
        <v>6</v>
      </c>
      <c r="K1" s="145"/>
      <c r="L1" s="146"/>
      <c r="M1" s="154" t="s">
        <v>6</v>
      </c>
      <c r="N1" s="150"/>
      <c r="O1" s="151"/>
      <c r="P1" s="154" t="s">
        <v>6</v>
      </c>
      <c r="Q1" s="150"/>
      <c r="R1" s="151"/>
      <c r="S1" s="154" t="s">
        <v>6</v>
      </c>
      <c r="T1" s="150"/>
      <c r="U1" s="150"/>
      <c r="V1" s="154" t="s">
        <v>6</v>
      </c>
      <c r="W1" s="150"/>
      <c r="X1" s="151"/>
      <c r="Y1" s="150" t="s">
        <v>1</v>
      </c>
      <c r="Z1" s="150"/>
      <c r="AA1" s="151"/>
      <c r="AB1" s="59"/>
      <c r="AC1" s="59"/>
    </row>
    <row r="2" spans="1:29" s="31" customFormat="1" ht="12">
      <c r="A2" s="98" t="s">
        <v>73</v>
      </c>
      <c r="B2" s="99" t="s">
        <v>75</v>
      </c>
      <c r="C2" s="100" t="s">
        <v>0</v>
      </c>
      <c r="D2" s="147">
        <v>2000</v>
      </c>
      <c r="E2" s="148"/>
      <c r="F2" s="149"/>
      <c r="G2" s="147">
        <v>2001</v>
      </c>
      <c r="H2" s="148"/>
      <c r="I2" s="149"/>
      <c r="J2" s="147">
        <v>2002</v>
      </c>
      <c r="K2" s="148"/>
      <c r="L2" s="149"/>
      <c r="M2" s="155">
        <v>2003</v>
      </c>
      <c r="N2" s="152"/>
      <c r="O2" s="153"/>
      <c r="P2" s="155">
        <v>2004</v>
      </c>
      <c r="Q2" s="152"/>
      <c r="R2" s="153"/>
      <c r="S2" s="155">
        <v>2005</v>
      </c>
      <c r="T2" s="152"/>
      <c r="U2" s="152"/>
      <c r="V2" s="155">
        <v>2006</v>
      </c>
      <c r="W2" s="152"/>
      <c r="X2" s="153"/>
      <c r="Y2" s="152" t="s">
        <v>54</v>
      </c>
      <c r="Z2" s="152"/>
      <c r="AA2" s="153"/>
      <c r="AB2" s="59"/>
      <c r="AC2" s="59"/>
    </row>
    <row r="3" spans="1:29" ht="36">
      <c r="A3" s="101" t="s">
        <v>74</v>
      </c>
      <c r="B3" s="102" t="s">
        <v>76</v>
      </c>
      <c r="C3" s="103"/>
      <c r="D3" s="60" t="s">
        <v>41</v>
      </c>
      <c r="E3" s="61" t="s">
        <v>3</v>
      </c>
      <c r="F3" s="62" t="s">
        <v>55</v>
      </c>
      <c r="G3" s="63" t="s">
        <v>41</v>
      </c>
      <c r="H3" s="64" t="s">
        <v>3</v>
      </c>
      <c r="I3" s="62" t="s">
        <v>55</v>
      </c>
      <c r="J3" s="63" t="s">
        <v>41</v>
      </c>
      <c r="K3" s="64" t="s">
        <v>3</v>
      </c>
      <c r="L3" s="62" t="s">
        <v>55</v>
      </c>
      <c r="M3" s="112" t="s">
        <v>41</v>
      </c>
      <c r="N3" s="113" t="s">
        <v>3</v>
      </c>
      <c r="O3" s="114" t="s">
        <v>55</v>
      </c>
      <c r="P3" s="112" t="s">
        <v>41</v>
      </c>
      <c r="Q3" s="113" t="s">
        <v>3</v>
      </c>
      <c r="R3" s="114" t="s">
        <v>55</v>
      </c>
      <c r="S3" s="112" t="s">
        <v>41</v>
      </c>
      <c r="T3" s="113" t="s">
        <v>3</v>
      </c>
      <c r="U3" s="115" t="s">
        <v>55</v>
      </c>
      <c r="V3" s="112" t="s">
        <v>41</v>
      </c>
      <c r="W3" s="113" t="s">
        <v>3</v>
      </c>
      <c r="X3" s="114" t="s">
        <v>55</v>
      </c>
      <c r="Y3" s="116" t="s">
        <v>41</v>
      </c>
      <c r="Z3" s="113" t="s">
        <v>3</v>
      </c>
      <c r="AA3" s="117" t="s">
        <v>55</v>
      </c>
      <c r="AB3" s="65"/>
      <c r="AC3" s="65"/>
    </row>
    <row r="4" spans="1:29" ht="36">
      <c r="A4" s="104">
        <v>1</v>
      </c>
      <c r="B4" s="105" t="s">
        <v>56</v>
      </c>
      <c r="C4" s="66" t="s">
        <v>14</v>
      </c>
      <c r="D4" s="122">
        <v>0.117857</v>
      </c>
      <c r="E4" s="123">
        <f aca="true" t="shared" si="0" ref="E4:E18">+D4</f>
        <v>0.117857</v>
      </c>
      <c r="F4" s="124">
        <f>0.117857-D4</f>
        <v>0</v>
      </c>
      <c r="G4" s="122">
        <f>2.033958</f>
        <v>2.033958</v>
      </c>
      <c r="H4" s="123">
        <v>0.677918</v>
      </c>
      <c r="I4" s="124">
        <f>4.309-G4</f>
        <v>2.275042</v>
      </c>
      <c r="J4" s="122">
        <v>2.770229</v>
      </c>
      <c r="K4" s="123">
        <v>0.923317</v>
      </c>
      <c r="L4" s="124">
        <f>5.923-J4</f>
        <v>3.152771</v>
      </c>
      <c r="M4" s="125">
        <v>2.750999</v>
      </c>
      <c r="N4" s="126">
        <v>0.917</v>
      </c>
      <c r="O4" s="127">
        <f>6.113333-M4</f>
        <v>3.3623339999999997</v>
      </c>
      <c r="P4" s="125">
        <v>4.007065</v>
      </c>
      <c r="Q4" s="126">
        <v>1.335565</v>
      </c>
      <c r="R4" s="127">
        <f>8.905-P4</f>
        <v>4.8979349999999995</v>
      </c>
      <c r="S4" s="125">
        <v>3.98655</v>
      </c>
      <c r="T4" s="126">
        <v>1.32885</v>
      </c>
      <c r="U4" s="128">
        <f>8.859-S4</f>
        <v>4.872450000000001</v>
      </c>
      <c r="V4" s="125">
        <v>4.133342</v>
      </c>
      <c r="W4" s="126">
        <v>1.299493</v>
      </c>
      <c r="X4" s="127">
        <f>9.773143-V4</f>
        <v>5.639800999999999</v>
      </c>
      <c r="Y4" s="129">
        <f>+V4+S4+P4+M4+J4+G4+D4</f>
        <v>19.800000000000004</v>
      </c>
      <c r="Z4" s="126">
        <f>+W4+T4+Q4+N4+K4+H4+E4</f>
        <v>6.6</v>
      </c>
      <c r="AA4" s="127">
        <f>+X4+U4+R4+O4+L4+I4+F4</f>
        <v>24.200333</v>
      </c>
      <c r="AB4" s="81"/>
      <c r="AC4" s="67"/>
    </row>
    <row r="5" spans="1:29" ht="36">
      <c r="A5" s="104">
        <v>2</v>
      </c>
      <c r="B5" s="105" t="s">
        <v>57</v>
      </c>
      <c r="C5" s="66" t="s">
        <v>15</v>
      </c>
      <c r="D5" s="122">
        <v>0.03125</v>
      </c>
      <c r="E5" s="123">
        <f t="shared" si="0"/>
        <v>0.03125</v>
      </c>
      <c r="F5" s="124">
        <f>0.03125-D5</f>
        <v>0</v>
      </c>
      <c r="G5" s="122">
        <v>0.575</v>
      </c>
      <c r="H5" s="123">
        <v>0.2875</v>
      </c>
      <c r="I5" s="124">
        <f>0.575-G5</f>
        <v>0</v>
      </c>
      <c r="J5" s="122">
        <v>1.4975</v>
      </c>
      <c r="K5" s="123">
        <v>0.74875</v>
      </c>
      <c r="L5" s="124">
        <f>1.4975-J5</f>
        <v>0</v>
      </c>
      <c r="M5" s="125">
        <v>1.12</v>
      </c>
      <c r="N5" s="126">
        <v>0.56</v>
      </c>
      <c r="O5" s="127">
        <f>1.12-M5</f>
        <v>0</v>
      </c>
      <c r="P5" s="125">
        <v>0.885307</v>
      </c>
      <c r="Q5" s="126">
        <v>0.443</v>
      </c>
      <c r="R5" s="127">
        <f>0.885307-P5</f>
        <v>0</v>
      </c>
      <c r="S5" s="125">
        <v>0.887</v>
      </c>
      <c r="T5" s="126">
        <v>0.443</v>
      </c>
      <c r="U5" s="128">
        <f>0.887-S5</f>
        <v>0</v>
      </c>
      <c r="V5" s="125">
        <v>0.855943</v>
      </c>
      <c r="W5" s="126">
        <v>0.4125</v>
      </c>
      <c r="X5" s="127">
        <f>0.855943-V5</f>
        <v>0</v>
      </c>
      <c r="Y5" s="129">
        <f aca="true" t="shared" si="1" ref="Y5:Y21">+V5+S5+P5+M5+J5+G5+D5</f>
        <v>5.852</v>
      </c>
      <c r="Z5" s="126">
        <f>+W5+T5+Q5+N5+K5+H5+E5</f>
        <v>2.926</v>
      </c>
      <c r="AA5" s="127">
        <f aca="true" t="shared" si="2" ref="AA5:AA20">+X5+U5+R5+O5+L5+I5+F5</f>
        <v>0</v>
      </c>
      <c r="AB5" s="81"/>
      <c r="AC5" s="67"/>
    </row>
    <row r="6" spans="1:29" ht="24">
      <c r="A6" s="104">
        <v>3</v>
      </c>
      <c r="B6" s="105" t="s">
        <v>58</v>
      </c>
      <c r="C6" s="66" t="s">
        <v>16</v>
      </c>
      <c r="D6" s="122">
        <v>0.006696</v>
      </c>
      <c r="E6" s="123">
        <f t="shared" si="0"/>
        <v>0.006696</v>
      </c>
      <c r="F6" s="124">
        <f>0.006696-D6</f>
        <v>0</v>
      </c>
      <c r="G6" s="122">
        <v>0</v>
      </c>
      <c r="H6" s="123">
        <v>0</v>
      </c>
      <c r="I6" s="124"/>
      <c r="J6" s="122">
        <v>0</v>
      </c>
      <c r="K6" s="123">
        <v>0</v>
      </c>
      <c r="L6" s="124">
        <v>0</v>
      </c>
      <c r="M6" s="125">
        <v>0</v>
      </c>
      <c r="N6" s="126">
        <v>0</v>
      </c>
      <c r="O6" s="127">
        <v>0</v>
      </c>
      <c r="P6" s="125">
        <v>0</v>
      </c>
      <c r="Q6" s="126">
        <v>0</v>
      </c>
      <c r="R6" s="127">
        <v>0</v>
      </c>
      <c r="S6" s="125">
        <v>0</v>
      </c>
      <c r="T6" s="126">
        <v>0</v>
      </c>
      <c r="U6" s="128"/>
      <c r="V6" s="125">
        <v>0</v>
      </c>
      <c r="W6" s="126">
        <f>+V6</f>
        <v>0</v>
      </c>
      <c r="X6" s="127">
        <f>--V6</f>
        <v>0</v>
      </c>
      <c r="Y6" s="129">
        <f t="shared" si="1"/>
        <v>0.006696</v>
      </c>
      <c r="Z6" s="126">
        <f aca="true" t="shared" si="3" ref="Z6:Z21">+W6+T6+Q6+N6+K6+H6+E6</f>
        <v>0.006696</v>
      </c>
      <c r="AA6" s="127">
        <v>0</v>
      </c>
      <c r="AB6" s="81"/>
      <c r="AC6" s="67"/>
    </row>
    <row r="7" spans="1:29" ht="36">
      <c r="A7" s="104">
        <v>4</v>
      </c>
      <c r="B7" s="105" t="s">
        <v>59</v>
      </c>
      <c r="C7" s="66" t="s">
        <v>17</v>
      </c>
      <c r="D7" s="122">
        <v>0.001786</v>
      </c>
      <c r="E7" s="123">
        <f t="shared" si="0"/>
        <v>0.001786</v>
      </c>
      <c r="F7" s="124">
        <f>0.001786-D7</f>
        <v>0</v>
      </c>
      <c r="G7" s="122">
        <v>0</v>
      </c>
      <c r="H7" s="123">
        <v>0</v>
      </c>
      <c r="I7" s="124"/>
      <c r="J7" s="122">
        <v>0</v>
      </c>
      <c r="K7" s="123">
        <v>0</v>
      </c>
      <c r="L7" s="124">
        <v>0</v>
      </c>
      <c r="M7" s="125">
        <v>0</v>
      </c>
      <c r="N7" s="126">
        <v>0</v>
      </c>
      <c r="O7" s="127">
        <v>0</v>
      </c>
      <c r="P7" s="125">
        <v>0</v>
      </c>
      <c r="Q7" s="126">
        <v>0</v>
      </c>
      <c r="R7" s="127">
        <v>0</v>
      </c>
      <c r="S7" s="125">
        <v>0</v>
      </c>
      <c r="T7" s="126">
        <v>0</v>
      </c>
      <c r="U7" s="128"/>
      <c r="V7" s="125">
        <v>0</v>
      </c>
      <c r="W7" s="126">
        <v>0</v>
      </c>
      <c r="X7" s="127">
        <f>0-V7</f>
        <v>0</v>
      </c>
      <c r="Y7" s="129">
        <f t="shared" si="1"/>
        <v>0.001786</v>
      </c>
      <c r="Z7" s="126">
        <f t="shared" si="3"/>
        <v>0.001786</v>
      </c>
      <c r="AA7" s="127">
        <v>0</v>
      </c>
      <c r="AB7" s="81"/>
      <c r="AC7" s="67"/>
    </row>
    <row r="8" spans="1:29" ht="96">
      <c r="A8" s="104" t="s">
        <v>21</v>
      </c>
      <c r="B8" s="105" t="s">
        <v>72</v>
      </c>
      <c r="C8" s="66" t="s">
        <v>39</v>
      </c>
      <c r="D8" s="122">
        <v>0.040179</v>
      </c>
      <c r="E8" s="123">
        <f t="shared" si="0"/>
        <v>0.040179</v>
      </c>
      <c r="F8" s="124">
        <f>0.040179-D8</f>
        <v>0</v>
      </c>
      <c r="G8" s="122">
        <v>0.773047</v>
      </c>
      <c r="H8" s="123">
        <v>0.257657</v>
      </c>
      <c r="I8" s="124">
        <f>1.778-G8</f>
        <v>1.004953</v>
      </c>
      <c r="J8" s="122">
        <v>0.551885</v>
      </c>
      <c r="K8" s="123">
        <v>0.183191</v>
      </c>
      <c r="L8" s="124">
        <f>1.16-J8</f>
        <v>0.608115</v>
      </c>
      <c r="M8" s="125">
        <v>1.294</v>
      </c>
      <c r="N8" s="126">
        <v>0.423</v>
      </c>
      <c r="O8" s="127">
        <f>2.486667-M8</f>
        <v>1.1926670000000001</v>
      </c>
      <c r="P8" s="125">
        <v>1.7339</v>
      </c>
      <c r="Q8" s="126">
        <v>0.563</v>
      </c>
      <c r="R8" s="127">
        <f>3.153-P8</f>
        <v>1.4191</v>
      </c>
      <c r="S8" s="125">
        <v>1.64115</v>
      </c>
      <c r="T8" s="126">
        <v>0.53205</v>
      </c>
      <c r="U8" s="128">
        <f>2.947-S8</f>
        <v>1.30585</v>
      </c>
      <c r="V8" s="125">
        <v>3.217837</v>
      </c>
      <c r="W8" s="126">
        <v>0.994921</v>
      </c>
      <c r="X8" s="127">
        <f>4.794821-V8</f>
        <v>1.576984</v>
      </c>
      <c r="Y8" s="129">
        <f t="shared" si="1"/>
        <v>9.251998</v>
      </c>
      <c r="Z8" s="126">
        <f t="shared" si="3"/>
        <v>2.9939980000000004</v>
      </c>
      <c r="AA8" s="127">
        <f t="shared" si="2"/>
        <v>7.107669</v>
      </c>
      <c r="AB8" s="81"/>
      <c r="AC8" s="67"/>
    </row>
    <row r="9" spans="1:29" ht="72">
      <c r="A9" s="104" t="s">
        <v>11</v>
      </c>
      <c r="B9" s="105" t="s">
        <v>60</v>
      </c>
      <c r="C9" s="66" t="s">
        <v>18</v>
      </c>
      <c r="D9" s="122">
        <v>0.1455</v>
      </c>
      <c r="E9" s="123">
        <f t="shared" si="0"/>
        <v>0.1455</v>
      </c>
      <c r="F9" s="124">
        <f>0.1455-D9</f>
        <v>0</v>
      </c>
      <c r="G9" s="122">
        <v>0.067</v>
      </c>
      <c r="H9" s="123">
        <v>0.023</v>
      </c>
      <c r="I9" s="124">
        <f>0.125-G9</f>
        <v>0.057999999999999996</v>
      </c>
      <c r="J9" s="122">
        <v>0.458</v>
      </c>
      <c r="K9" s="123">
        <v>0.169</v>
      </c>
      <c r="L9" s="124">
        <f>1.075-J9</f>
        <v>0.617</v>
      </c>
      <c r="M9" s="125">
        <v>0.378862</v>
      </c>
      <c r="N9" s="126">
        <v>0.13655</v>
      </c>
      <c r="O9" s="127">
        <f>0.833-M9</f>
        <v>0.454138</v>
      </c>
      <c r="P9" s="125">
        <v>0.430969</v>
      </c>
      <c r="Q9" s="126">
        <v>0.153333</v>
      </c>
      <c r="R9" s="127">
        <f>0.9-P9</f>
        <v>0.46903100000000003</v>
      </c>
      <c r="S9" s="125">
        <v>0.43121</v>
      </c>
      <c r="T9" s="126">
        <v>0.153333</v>
      </c>
      <c r="U9" s="128">
        <f>0.9-S9</f>
        <v>0.46879000000000004</v>
      </c>
      <c r="V9" s="125">
        <v>0.688709</v>
      </c>
      <c r="W9" s="126">
        <v>0.139534</v>
      </c>
      <c r="X9" s="127">
        <f>1.4215-V9</f>
        <v>0.732791</v>
      </c>
      <c r="Y9" s="129">
        <f>+V9+S9+P9+M9+J9+G9+D9</f>
        <v>2.6002500000000004</v>
      </c>
      <c r="Z9" s="126">
        <f>+W9+T9+Q9+N9+K9+H9+E9</f>
        <v>0.92025</v>
      </c>
      <c r="AA9" s="127">
        <f>+X9+U9+R9+O9+L9+I9+F9</f>
        <v>2.79975</v>
      </c>
      <c r="AB9" s="81"/>
      <c r="AC9" s="67"/>
    </row>
    <row r="10" spans="1:29" ht="60">
      <c r="A10" s="104"/>
      <c r="B10" s="105" t="s">
        <v>61</v>
      </c>
      <c r="C10" s="66" t="s">
        <v>7</v>
      </c>
      <c r="D10" s="122">
        <v>0.019107</v>
      </c>
      <c r="E10" s="123">
        <f t="shared" si="0"/>
        <v>0.019107</v>
      </c>
      <c r="F10" s="124">
        <f>0.019107-D10</f>
        <v>0</v>
      </c>
      <c r="G10" s="122">
        <v>0</v>
      </c>
      <c r="H10" s="123">
        <v>0</v>
      </c>
      <c r="I10" s="124"/>
      <c r="J10" s="122">
        <v>0</v>
      </c>
      <c r="K10" s="123">
        <v>0</v>
      </c>
      <c r="L10" s="124">
        <v>0</v>
      </c>
      <c r="M10" s="125">
        <v>0</v>
      </c>
      <c r="N10" s="126">
        <v>0</v>
      </c>
      <c r="O10" s="127">
        <v>0</v>
      </c>
      <c r="P10" s="125">
        <v>0</v>
      </c>
      <c r="Q10" s="126">
        <v>0</v>
      </c>
      <c r="R10" s="127">
        <v>0</v>
      </c>
      <c r="S10" s="125">
        <v>0</v>
      </c>
      <c r="T10" s="126">
        <v>0</v>
      </c>
      <c r="U10" s="128">
        <v>0</v>
      </c>
      <c r="V10" s="125">
        <v>0</v>
      </c>
      <c r="W10" s="126">
        <v>0</v>
      </c>
      <c r="X10" s="127">
        <f>0-V10</f>
        <v>0</v>
      </c>
      <c r="Y10" s="129">
        <f t="shared" si="1"/>
        <v>0.019107</v>
      </c>
      <c r="Z10" s="126">
        <f t="shared" si="3"/>
        <v>0.019107</v>
      </c>
      <c r="AA10" s="127">
        <f t="shared" si="2"/>
        <v>0</v>
      </c>
      <c r="AB10" s="67"/>
      <c r="AC10" s="67"/>
    </row>
    <row r="11" spans="1:29" ht="72">
      <c r="A11" s="104">
        <v>6</v>
      </c>
      <c r="B11" s="105" t="s">
        <v>66</v>
      </c>
      <c r="C11" s="66" t="s">
        <v>25</v>
      </c>
      <c r="D11" s="122">
        <v>0.160714</v>
      </c>
      <c r="E11" s="123">
        <f t="shared" si="0"/>
        <v>0.160714</v>
      </c>
      <c r="F11" s="124">
        <f>0.160714-D11</f>
        <v>0</v>
      </c>
      <c r="G11" s="122">
        <v>5.566232</v>
      </c>
      <c r="H11" s="123">
        <v>2.087337</v>
      </c>
      <c r="I11" s="124">
        <f>13.91558-G11</f>
        <v>8.349347999999999</v>
      </c>
      <c r="J11" s="122">
        <v>5.703346</v>
      </c>
      <c r="K11" s="123">
        <v>2.138755</v>
      </c>
      <c r="L11" s="124">
        <f>14.258-J11</f>
        <v>8.554654</v>
      </c>
      <c r="M11" s="125">
        <v>5.866667</v>
      </c>
      <c r="N11" s="126">
        <v>2.2</v>
      </c>
      <c r="O11" s="127">
        <f>14.666667-M11</f>
        <v>8.8</v>
      </c>
      <c r="P11" s="125">
        <v>4.04</v>
      </c>
      <c r="Q11" s="126">
        <v>1.515</v>
      </c>
      <c r="R11" s="127">
        <f>10.1-P11</f>
        <v>6.06</v>
      </c>
      <c r="S11" s="125">
        <v>4.44</v>
      </c>
      <c r="T11" s="126">
        <v>1.665</v>
      </c>
      <c r="U11" s="128">
        <f>11.1-S11</f>
        <v>6.659999999999999</v>
      </c>
      <c r="V11" s="125">
        <v>1.489041</v>
      </c>
      <c r="W11" s="126">
        <v>0.458194</v>
      </c>
      <c r="X11" s="127">
        <f>3.965372-V11</f>
        <v>2.476331</v>
      </c>
      <c r="Y11" s="129">
        <f t="shared" si="1"/>
        <v>27.266</v>
      </c>
      <c r="Z11" s="126">
        <f>+W11+T11+Q11+N11+K11+H11+E11</f>
        <v>10.225</v>
      </c>
      <c r="AA11" s="127">
        <f t="shared" si="2"/>
        <v>40.900332999999996</v>
      </c>
      <c r="AB11" s="81"/>
      <c r="AC11" s="67"/>
    </row>
    <row r="12" spans="1:29" ht="60">
      <c r="A12" s="104">
        <v>7</v>
      </c>
      <c r="B12" s="105" t="s">
        <v>67</v>
      </c>
      <c r="C12" s="66" t="s">
        <v>26</v>
      </c>
      <c r="D12" s="122">
        <v>0.004464</v>
      </c>
      <c r="E12" s="123">
        <f t="shared" si="0"/>
        <v>0.004464</v>
      </c>
      <c r="F12" s="124">
        <f>0.004464-D12</f>
        <v>0</v>
      </c>
      <c r="G12" s="122">
        <v>0</v>
      </c>
      <c r="H12" s="123">
        <v>0</v>
      </c>
      <c r="I12" s="124"/>
      <c r="J12" s="122">
        <v>0</v>
      </c>
      <c r="K12" s="123">
        <v>0</v>
      </c>
      <c r="L12" s="124">
        <v>0</v>
      </c>
      <c r="M12" s="125">
        <v>0</v>
      </c>
      <c r="N12" s="126">
        <v>0</v>
      </c>
      <c r="O12" s="127">
        <v>0</v>
      </c>
      <c r="P12" s="125">
        <v>0</v>
      </c>
      <c r="Q12" s="126">
        <v>0</v>
      </c>
      <c r="R12" s="127">
        <v>0</v>
      </c>
      <c r="S12" s="125">
        <v>0</v>
      </c>
      <c r="T12" s="126">
        <v>0</v>
      </c>
      <c r="U12" s="128">
        <v>0</v>
      </c>
      <c r="V12" s="125">
        <v>0</v>
      </c>
      <c r="W12" s="126">
        <v>0</v>
      </c>
      <c r="X12" s="127">
        <f>0-V12</f>
        <v>0</v>
      </c>
      <c r="Y12" s="129">
        <f t="shared" si="1"/>
        <v>0.004464</v>
      </c>
      <c r="Z12" s="126">
        <f t="shared" si="3"/>
        <v>0.004464</v>
      </c>
      <c r="AA12" s="127">
        <v>0</v>
      </c>
      <c r="AB12" s="67"/>
      <c r="AC12" s="67"/>
    </row>
    <row r="13" spans="1:29" ht="12">
      <c r="A13" s="104">
        <v>8</v>
      </c>
      <c r="B13" s="105" t="s">
        <v>62</v>
      </c>
      <c r="C13" s="66" t="s">
        <v>27</v>
      </c>
      <c r="D13" s="122">
        <v>0.006696</v>
      </c>
      <c r="E13" s="123">
        <f t="shared" si="0"/>
        <v>0.006696</v>
      </c>
      <c r="F13" s="124">
        <f>0.006696-D13</f>
        <v>0</v>
      </c>
      <c r="G13" s="122">
        <v>0.075</v>
      </c>
      <c r="H13" s="123">
        <v>0.0375</v>
      </c>
      <c r="I13" s="124">
        <f>0.075-G13</f>
        <v>0</v>
      </c>
      <c r="J13" s="122">
        <v>0.135</v>
      </c>
      <c r="K13" s="123">
        <v>0.0675</v>
      </c>
      <c r="L13" s="124">
        <f>0.135-J13</f>
        <v>0</v>
      </c>
      <c r="M13" s="125">
        <v>0.135</v>
      </c>
      <c r="N13" s="126">
        <v>0.068</v>
      </c>
      <c r="O13" s="127">
        <f>0.135-M13</f>
        <v>0</v>
      </c>
      <c r="P13" s="125">
        <v>0.135</v>
      </c>
      <c r="Q13" s="126">
        <v>0.068</v>
      </c>
      <c r="R13" s="127">
        <f>0.135-P13</f>
        <v>0</v>
      </c>
      <c r="S13" s="125">
        <v>0.1355</v>
      </c>
      <c r="T13" s="126">
        <v>0.068</v>
      </c>
      <c r="U13" s="128">
        <f>0.1355-S13</f>
        <v>0</v>
      </c>
      <c r="V13" s="125">
        <v>0.127804</v>
      </c>
      <c r="W13" s="126">
        <v>0.059304</v>
      </c>
      <c r="X13" s="127">
        <f>0.127804-V13</f>
        <v>0</v>
      </c>
      <c r="Y13" s="129">
        <f t="shared" si="1"/>
        <v>0.75</v>
      </c>
      <c r="Z13" s="126">
        <f>+W13+T13+Q13+N13+K13+H13+E13</f>
        <v>0.37499999999999994</v>
      </c>
      <c r="AA13" s="127">
        <f t="shared" si="2"/>
        <v>0</v>
      </c>
      <c r="AB13" s="67"/>
      <c r="AC13" s="67"/>
    </row>
    <row r="14" spans="1:29" ht="96">
      <c r="A14" s="104">
        <v>9</v>
      </c>
      <c r="B14" s="105" t="s">
        <v>63</v>
      </c>
      <c r="C14" s="66" t="s">
        <v>28</v>
      </c>
      <c r="D14" s="122">
        <v>0.005357</v>
      </c>
      <c r="E14" s="123">
        <f t="shared" si="0"/>
        <v>0.005357</v>
      </c>
      <c r="F14" s="124">
        <f>0.005357-D14</f>
        <v>0</v>
      </c>
      <c r="G14" s="122">
        <v>0</v>
      </c>
      <c r="H14" s="123">
        <v>0</v>
      </c>
      <c r="I14" s="124"/>
      <c r="J14" s="122">
        <v>0</v>
      </c>
      <c r="K14" s="123">
        <v>0</v>
      </c>
      <c r="L14" s="124">
        <v>0</v>
      </c>
      <c r="M14" s="125">
        <v>0</v>
      </c>
      <c r="N14" s="126">
        <v>0</v>
      </c>
      <c r="O14" s="127">
        <v>0</v>
      </c>
      <c r="P14" s="125">
        <v>0</v>
      </c>
      <c r="Q14" s="126">
        <v>0</v>
      </c>
      <c r="R14" s="127">
        <v>0</v>
      </c>
      <c r="S14" s="125">
        <v>0.084088</v>
      </c>
      <c r="T14" s="126">
        <v>0.031</v>
      </c>
      <c r="U14" s="128">
        <f>0.168-S14</f>
        <v>0.08391200000000001</v>
      </c>
      <c r="V14" s="125">
        <v>0.175555</v>
      </c>
      <c r="W14" s="126">
        <v>0.063643</v>
      </c>
      <c r="X14" s="127">
        <f>0.356643-V14</f>
        <v>0.181088</v>
      </c>
      <c r="Y14" s="129">
        <f t="shared" si="1"/>
        <v>0.26499999999999996</v>
      </c>
      <c r="Z14" s="126">
        <f>+W14+T14+Q14+N14+K14+H14+E14</f>
        <v>0.1</v>
      </c>
      <c r="AA14" s="127">
        <f t="shared" si="2"/>
        <v>0.265</v>
      </c>
      <c r="AB14" s="67"/>
      <c r="AC14" s="67"/>
    </row>
    <row r="15" spans="1:29" ht="36">
      <c r="A15" s="104">
        <v>10</v>
      </c>
      <c r="B15" s="105" t="s">
        <v>68</v>
      </c>
      <c r="C15" s="66" t="s">
        <v>29</v>
      </c>
      <c r="D15" s="122">
        <v>0.005357</v>
      </c>
      <c r="E15" s="123">
        <f t="shared" si="0"/>
        <v>0.005357</v>
      </c>
      <c r="F15" s="124">
        <v>0</v>
      </c>
      <c r="G15" s="122">
        <v>0</v>
      </c>
      <c r="H15" s="123">
        <v>0</v>
      </c>
      <c r="I15" s="124"/>
      <c r="J15" s="122">
        <v>0</v>
      </c>
      <c r="K15" s="123">
        <v>0</v>
      </c>
      <c r="L15" s="124">
        <v>0</v>
      </c>
      <c r="M15" s="125">
        <v>0</v>
      </c>
      <c r="N15" s="126">
        <v>0</v>
      </c>
      <c r="O15" s="127">
        <v>0</v>
      </c>
      <c r="P15" s="125">
        <v>0</v>
      </c>
      <c r="Q15" s="126">
        <v>0</v>
      </c>
      <c r="R15" s="127">
        <v>0</v>
      </c>
      <c r="S15" s="125">
        <v>0</v>
      </c>
      <c r="T15" s="126">
        <v>0</v>
      </c>
      <c r="U15" s="128">
        <v>0</v>
      </c>
      <c r="V15" s="125">
        <v>0</v>
      </c>
      <c r="W15" s="126">
        <v>0</v>
      </c>
      <c r="X15" s="127">
        <f>0-V15</f>
        <v>0</v>
      </c>
      <c r="Y15" s="129">
        <f t="shared" si="1"/>
        <v>0.005357</v>
      </c>
      <c r="Z15" s="126">
        <f t="shared" si="3"/>
        <v>0.005357</v>
      </c>
      <c r="AA15" s="127">
        <v>0</v>
      </c>
      <c r="AB15" s="67"/>
      <c r="AC15" s="67"/>
    </row>
    <row r="16" spans="1:29" ht="84">
      <c r="A16" s="104">
        <v>11</v>
      </c>
      <c r="B16" s="105" t="s">
        <v>69</v>
      </c>
      <c r="C16" s="66" t="s">
        <v>30</v>
      </c>
      <c r="D16" s="122">
        <v>0.064286</v>
      </c>
      <c r="E16" s="123">
        <f t="shared" si="0"/>
        <v>0.064286</v>
      </c>
      <c r="F16" s="124">
        <f>0.064286-D16</f>
        <v>0</v>
      </c>
      <c r="G16" s="122">
        <v>0</v>
      </c>
      <c r="H16" s="123">
        <v>0</v>
      </c>
      <c r="I16" s="124"/>
      <c r="J16" s="122">
        <v>0.798089</v>
      </c>
      <c r="K16" s="123">
        <v>0.295293</v>
      </c>
      <c r="L16" s="124">
        <f>0.998-J16</f>
        <v>0.19991099999999995</v>
      </c>
      <c r="M16" s="125">
        <v>1.297297</v>
      </c>
      <c r="N16" s="126">
        <v>0.48</v>
      </c>
      <c r="O16" s="127">
        <f>1.621622-M16</f>
        <v>0.324325</v>
      </c>
      <c r="P16" s="125">
        <v>1.994143</v>
      </c>
      <c r="Q16" s="126">
        <v>0.738</v>
      </c>
      <c r="R16" s="127">
        <f>2.491-P16</f>
        <v>0.4968570000000001</v>
      </c>
      <c r="S16" s="125">
        <v>1.866205</v>
      </c>
      <c r="T16" s="126">
        <v>0.691</v>
      </c>
      <c r="U16" s="128">
        <f>2.333-S16</f>
        <v>0.4667950000000003</v>
      </c>
      <c r="V16" s="125">
        <v>3.69998</v>
      </c>
      <c r="W16" s="126">
        <v>1.331421</v>
      </c>
      <c r="X16" s="127">
        <f>4.64247-V16</f>
        <v>0.9424900000000003</v>
      </c>
      <c r="Y16" s="129">
        <f t="shared" si="1"/>
        <v>9.719999999999999</v>
      </c>
      <c r="Z16" s="126">
        <f t="shared" si="3"/>
        <v>3.6</v>
      </c>
      <c r="AA16" s="127">
        <f t="shared" si="2"/>
        <v>2.430378000000001</v>
      </c>
      <c r="AB16" s="81"/>
      <c r="AC16" s="67"/>
    </row>
    <row r="17" spans="1:29" ht="36">
      <c r="A17" s="104">
        <v>12</v>
      </c>
      <c r="B17" s="105" t="s">
        <v>70</v>
      </c>
      <c r="C17" s="66" t="s">
        <v>31</v>
      </c>
      <c r="D17" s="122">
        <v>0.108179</v>
      </c>
      <c r="E17" s="123">
        <f t="shared" si="0"/>
        <v>0.108179</v>
      </c>
      <c r="F17" s="124">
        <f>0.108179-D17</f>
        <v>0</v>
      </c>
      <c r="G17" s="122">
        <v>2.20775</v>
      </c>
      <c r="H17" s="123">
        <v>0.816426</v>
      </c>
      <c r="I17" s="124">
        <f>2.76-G17</f>
        <v>0.5522499999999999</v>
      </c>
      <c r="J17" s="122">
        <v>1.318378</v>
      </c>
      <c r="K17" s="123">
        <v>0.487536</v>
      </c>
      <c r="L17" s="124">
        <f>1.791-J17</f>
        <v>0.4726219999999999</v>
      </c>
      <c r="M17" s="125">
        <v>2.974249</v>
      </c>
      <c r="N17" s="126">
        <v>1.1</v>
      </c>
      <c r="O17" s="127">
        <f>4.72103-M17</f>
        <v>1.746781</v>
      </c>
      <c r="P17" s="125">
        <v>2.106171</v>
      </c>
      <c r="Q17" s="126">
        <v>0.779</v>
      </c>
      <c r="R17" s="127">
        <f>3.343-P17</f>
        <v>1.2368290000000002</v>
      </c>
      <c r="S17" s="125">
        <v>2.606389</v>
      </c>
      <c r="T17" s="126">
        <v>0.964</v>
      </c>
      <c r="U17" s="128">
        <f>4.137-S17</f>
        <v>1.5306109999999995</v>
      </c>
      <c r="V17" s="125">
        <v>3.419884</v>
      </c>
      <c r="W17" s="126">
        <v>1.196859</v>
      </c>
      <c r="X17" s="127">
        <f>6.538821-V17</f>
        <v>3.1189370000000003</v>
      </c>
      <c r="Y17" s="129">
        <f t="shared" si="1"/>
        <v>14.741</v>
      </c>
      <c r="Z17" s="126">
        <f>+W17+T17+Q17+N17+K17+H17+E17</f>
        <v>5.452</v>
      </c>
      <c r="AA17" s="127">
        <f t="shared" si="2"/>
        <v>8.65803</v>
      </c>
      <c r="AB17" s="81"/>
      <c r="AC17" s="67"/>
    </row>
    <row r="18" spans="1:29" ht="36">
      <c r="A18" s="104">
        <v>13</v>
      </c>
      <c r="B18" s="105" t="s">
        <v>64</v>
      </c>
      <c r="C18" s="66" t="s">
        <v>32</v>
      </c>
      <c r="D18" s="122">
        <v>1.12625</v>
      </c>
      <c r="E18" s="123">
        <f t="shared" si="0"/>
        <v>1.12625</v>
      </c>
      <c r="F18" s="124">
        <f>1.12625-D18</f>
        <v>0</v>
      </c>
      <c r="G18" s="122">
        <f>11.325084-0.003332</f>
        <v>11.321752</v>
      </c>
      <c r="H18" s="123">
        <f>5.664208-0.003332</f>
        <v>5.660876</v>
      </c>
      <c r="I18" s="124">
        <f>11.325084-0.003332-G18</f>
        <v>0</v>
      </c>
      <c r="J18" s="122">
        <v>16.953354</v>
      </c>
      <c r="K18" s="123">
        <v>8.476677</v>
      </c>
      <c r="L18" s="124">
        <f>16.953354-J18</f>
        <v>0</v>
      </c>
      <c r="M18" s="125">
        <v>2.587332</v>
      </c>
      <c r="N18" s="126">
        <v>1.293666</v>
      </c>
      <c r="O18" s="127">
        <f>2.587332-M18</f>
        <v>0</v>
      </c>
      <c r="P18" s="125">
        <v>15.75</v>
      </c>
      <c r="Q18" s="126">
        <v>7.875</v>
      </c>
      <c r="R18" s="127">
        <f>15.75-P18</f>
        <v>0</v>
      </c>
      <c r="S18" s="125">
        <v>15.484</v>
      </c>
      <c r="T18" s="126">
        <v>7.742</v>
      </c>
      <c r="U18" s="128">
        <f>15.484-S18</f>
        <v>0</v>
      </c>
      <c r="V18" s="125">
        <v>14.587312</v>
      </c>
      <c r="W18" s="126">
        <v>6.730865</v>
      </c>
      <c r="X18" s="127">
        <f>14.587312-V18</f>
        <v>0</v>
      </c>
      <c r="Y18" s="129">
        <f t="shared" si="1"/>
        <v>77.81</v>
      </c>
      <c r="Z18" s="126">
        <f t="shared" si="3"/>
        <v>38.905334</v>
      </c>
      <c r="AA18" s="127">
        <f t="shared" si="2"/>
        <v>0</v>
      </c>
      <c r="AB18" s="67"/>
      <c r="AC18" s="67"/>
    </row>
    <row r="19" spans="1:29" ht="12">
      <c r="A19" s="104"/>
      <c r="B19" s="105"/>
      <c r="C19" s="66" t="s">
        <v>5</v>
      </c>
      <c r="D19" s="122">
        <v>31.3082581</v>
      </c>
      <c r="E19" s="123">
        <v>15.65412905</v>
      </c>
      <c r="F19" s="124">
        <f>31.3082581-D19</f>
        <v>0</v>
      </c>
      <c r="G19" s="122">
        <f>2.0217454+0.003332</f>
        <v>2.0250774</v>
      </c>
      <c r="H19" s="123">
        <f>1.01099386+0.003332</f>
        <v>1.0143258599999998</v>
      </c>
      <c r="I19" s="124">
        <f>2.0217454+0.003332-G19</f>
        <v>0</v>
      </c>
      <c r="J19" s="122">
        <v>0.75170132</v>
      </c>
      <c r="K19" s="123">
        <v>0.37585066</v>
      </c>
      <c r="L19" s="124">
        <f>0.75170132-J19</f>
        <v>0</v>
      </c>
      <c r="M19" s="125">
        <v>14.244963</v>
      </c>
      <c r="N19" s="126">
        <v>7.120694</v>
      </c>
      <c r="O19" s="127">
        <f>14.244963-M19</f>
        <v>0</v>
      </c>
      <c r="P19" s="125">
        <v>0</v>
      </c>
      <c r="Q19" s="126">
        <v>0</v>
      </c>
      <c r="R19" s="127">
        <v>0</v>
      </c>
      <c r="S19" s="125">
        <v>0</v>
      </c>
      <c r="T19" s="126">
        <v>0</v>
      </c>
      <c r="U19" s="128">
        <v>0</v>
      </c>
      <c r="V19" s="125">
        <v>0</v>
      </c>
      <c r="W19" s="126">
        <v>0</v>
      </c>
      <c r="X19" s="127">
        <v>0</v>
      </c>
      <c r="Y19" s="129">
        <f t="shared" si="1"/>
        <v>48.32999982</v>
      </c>
      <c r="Z19" s="126">
        <f t="shared" si="3"/>
        <v>24.16499957</v>
      </c>
      <c r="AA19" s="127">
        <f t="shared" si="2"/>
        <v>0</v>
      </c>
      <c r="AB19" s="67"/>
      <c r="AC19" s="67"/>
    </row>
    <row r="20" spans="1:29" ht="60">
      <c r="A20" s="104">
        <v>14</v>
      </c>
      <c r="B20" s="105" t="s">
        <v>65</v>
      </c>
      <c r="C20" s="66" t="s">
        <v>33</v>
      </c>
      <c r="D20" s="122">
        <v>0.271072</v>
      </c>
      <c r="E20" s="123">
        <f>+D20</f>
        <v>0.271072</v>
      </c>
      <c r="F20" s="124">
        <f>0.271072-D20</f>
        <v>0</v>
      </c>
      <c r="G20" s="122">
        <v>3.945877</v>
      </c>
      <c r="H20" s="123">
        <v>1.972939</v>
      </c>
      <c r="I20" s="124">
        <f>3.945877-G20</f>
        <v>0</v>
      </c>
      <c r="J20" s="122">
        <v>6.53143</v>
      </c>
      <c r="K20" s="123">
        <v>3.265715</v>
      </c>
      <c r="L20" s="124">
        <f>6.53143-J20</f>
        <v>0</v>
      </c>
      <c r="M20" s="125">
        <v>5.2</v>
      </c>
      <c r="N20" s="126">
        <v>2.6</v>
      </c>
      <c r="O20" s="127">
        <f>5.2-M20</f>
        <v>0</v>
      </c>
      <c r="P20" s="125">
        <v>5.432</v>
      </c>
      <c r="Q20" s="126">
        <v>2.716</v>
      </c>
      <c r="R20" s="127">
        <f>5.432-P20</f>
        <v>0</v>
      </c>
      <c r="S20" s="125">
        <v>5.442</v>
      </c>
      <c r="T20" s="126">
        <v>2.721</v>
      </c>
      <c r="U20" s="128">
        <f>5.442-S20</f>
        <v>0</v>
      </c>
      <c r="V20" s="125">
        <f>3.538221-0.042</f>
        <v>3.4962210000000002</v>
      </c>
      <c r="W20" s="126">
        <f>1.632874-0.042</f>
        <v>1.590874</v>
      </c>
      <c r="X20" s="127">
        <f>3.496221-V20</f>
        <v>0</v>
      </c>
      <c r="Y20" s="129">
        <f>+V20+S20+P20+M20+J20+G20+D20</f>
        <v>30.3186</v>
      </c>
      <c r="Z20" s="126">
        <f t="shared" si="3"/>
        <v>15.1376</v>
      </c>
      <c r="AA20" s="127">
        <f t="shared" si="2"/>
        <v>0</v>
      </c>
      <c r="AB20" s="67"/>
      <c r="AC20" s="67"/>
    </row>
    <row r="21" spans="1:29" ht="108">
      <c r="A21" s="104" t="s">
        <v>8</v>
      </c>
      <c r="B21" s="105" t="s">
        <v>71</v>
      </c>
      <c r="C21" s="66" t="s">
        <v>34</v>
      </c>
      <c r="D21" s="122">
        <v>0.004357</v>
      </c>
      <c r="E21" s="123">
        <f>+D21</f>
        <v>0.004357</v>
      </c>
      <c r="F21" s="124">
        <f>0.004357-D21</f>
        <v>0</v>
      </c>
      <c r="G21" s="122">
        <v>0</v>
      </c>
      <c r="H21" s="123">
        <v>0</v>
      </c>
      <c r="I21" s="124"/>
      <c r="J21" s="122">
        <v>0</v>
      </c>
      <c r="K21" s="123">
        <v>0</v>
      </c>
      <c r="L21" s="124">
        <v>0</v>
      </c>
      <c r="M21" s="125">
        <v>0</v>
      </c>
      <c r="N21" s="126">
        <v>0</v>
      </c>
      <c r="O21" s="127">
        <v>0</v>
      </c>
      <c r="P21" s="125">
        <v>0</v>
      </c>
      <c r="Q21" s="126">
        <v>0</v>
      </c>
      <c r="R21" s="127">
        <v>0</v>
      </c>
      <c r="S21" s="125">
        <v>0</v>
      </c>
      <c r="T21" s="126">
        <v>0</v>
      </c>
      <c r="U21" s="128">
        <v>0</v>
      </c>
      <c r="V21" s="125">
        <v>0</v>
      </c>
      <c r="W21" s="126">
        <v>0</v>
      </c>
      <c r="X21" s="127">
        <f>0-V21</f>
        <v>0</v>
      </c>
      <c r="Y21" s="129">
        <f t="shared" si="1"/>
        <v>0.004357</v>
      </c>
      <c r="Z21" s="126">
        <f t="shared" si="3"/>
        <v>0.004357</v>
      </c>
      <c r="AA21" s="127">
        <v>0</v>
      </c>
      <c r="AB21" s="67"/>
      <c r="AC21" s="67"/>
    </row>
    <row r="22" spans="1:29" ht="96">
      <c r="A22" s="104" t="s">
        <v>36</v>
      </c>
      <c r="B22" s="105" t="s">
        <v>60</v>
      </c>
      <c r="C22" s="66" t="s">
        <v>35</v>
      </c>
      <c r="D22" s="122">
        <v>0</v>
      </c>
      <c r="E22" s="123">
        <v>0</v>
      </c>
      <c r="F22" s="124">
        <v>0</v>
      </c>
      <c r="G22" s="122">
        <v>1.164263</v>
      </c>
      <c r="H22" s="123">
        <v>0.465571</v>
      </c>
      <c r="I22" s="124">
        <f>2.909046-G22</f>
        <v>1.744783</v>
      </c>
      <c r="J22" s="122">
        <v>2.677405</v>
      </c>
      <c r="K22" s="123">
        <v>1.02254</v>
      </c>
      <c r="L22" s="124">
        <f>5.552014-J22</f>
        <v>2.874609</v>
      </c>
      <c r="M22" s="125">
        <v>2.801606</v>
      </c>
      <c r="N22" s="126">
        <v>1.037672</v>
      </c>
      <c r="O22" s="127">
        <f>4.889705-M22</f>
        <v>2.088099</v>
      </c>
      <c r="P22" s="125">
        <v>3.062445</v>
      </c>
      <c r="Q22" s="126">
        <v>1.134102</v>
      </c>
      <c r="R22" s="127">
        <f>5.348-P22</f>
        <v>2.285555</v>
      </c>
      <c r="S22" s="125">
        <v>3.7025693</v>
      </c>
      <c r="T22" s="126">
        <v>1.370606</v>
      </c>
      <c r="U22" s="128">
        <f>6.462-S22</f>
        <v>2.7594307</v>
      </c>
      <c r="V22" s="125">
        <v>6.1087113</v>
      </c>
      <c r="W22" s="126">
        <v>2.197509</v>
      </c>
      <c r="X22" s="127">
        <f>8.907235-V22</f>
        <v>2.7985236999999996</v>
      </c>
      <c r="Y22" s="129">
        <f>+V22+S22+P22+M22+J22+G22+D22</f>
        <v>19.5169996</v>
      </c>
      <c r="Z22" s="126">
        <f>+W22+T22+Q22+N22+K22+H22+E22</f>
        <v>7.228</v>
      </c>
      <c r="AA22" s="127">
        <f>+X22+U22+R22+O22+L22+I22+F22</f>
        <v>14.5510004</v>
      </c>
      <c r="AB22" s="67"/>
      <c r="AC22" s="67"/>
    </row>
    <row r="23" spans="1:29" ht="24">
      <c r="A23" s="104"/>
      <c r="B23" s="105"/>
      <c r="C23" s="66" t="s">
        <v>53</v>
      </c>
      <c r="D23" s="122"/>
      <c r="E23" s="123">
        <v>0</v>
      </c>
      <c r="F23" s="124"/>
      <c r="G23" s="122"/>
      <c r="H23" s="123"/>
      <c r="I23" s="124"/>
      <c r="J23" s="122"/>
      <c r="K23" s="123"/>
      <c r="L23" s="124"/>
      <c r="M23" s="125"/>
      <c r="N23" s="126"/>
      <c r="O23" s="127"/>
      <c r="P23" s="125"/>
      <c r="Q23" s="126"/>
      <c r="R23" s="127"/>
      <c r="S23" s="125"/>
      <c r="T23" s="126"/>
      <c r="U23" s="128"/>
      <c r="V23" s="125"/>
      <c r="W23" s="126">
        <v>0</v>
      </c>
      <c r="X23" s="127"/>
      <c r="Y23" s="129"/>
      <c r="Z23" s="126">
        <f>+W23+T23+Q23+N23+K23+H23+E23</f>
        <v>0</v>
      </c>
      <c r="AA23" s="127"/>
      <c r="AB23" s="67"/>
      <c r="AC23" s="67"/>
    </row>
    <row r="24" spans="1:29" s="45" customFormat="1" ht="12.75" thickBot="1">
      <c r="A24" s="106"/>
      <c r="B24" s="107"/>
      <c r="C24" s="68" t="s">
        <v>77</v>
      </c>
      <c r="D24" s="130">
        <f>SUM(D4:D23)</f>
        <v>33.427365099999996</v>
      </c>
      <c r="E24" s="131">
        <f>SUM(E4:E23)</f>
        <v>17.773236049999998</v>
      </c>
      <c r="F24" s="132">
        <f>SUM(F10:F23)</f>
        <v>0</v>
      </c>
      <c r="G24" s="130">
        <f>SUM(G4:G23)+0.000001</f>
        <v>29.7549574</v>
      </c>
      <c r="H24" s="131">
        <f>SUM(H4:H23)-0.000001</f>
        <v>13.301048860000002</v>
      </c>
      <c r="I24" s="132">
        <f>SUM(I4:I23)-0.000001</f>
        <v>13.984375</v>
      </c>
      <c r="J24" s="130">
        <f>SUM(J4:J23)</f>
        <v>40.14631732</v>
      </c>
      <c r="K24" s="131">
        <f>SUM(K4:K23)</f>
        <v>18.15412466</v>
      </c>
      <c r="L24" s="132">
        <f>SUM(L4:L23)+0.000001</f>
        <v>16.479683</v>
      </c>
      <c r="M24" s="130">
        <f aca="true" t="shared" si="4" ref="M24:R24">SUM(M4:M23)</f>
        <v>40.650975</v>
      </c>
      <c r="N24" s="131">
        <f t="shared" si="4"/>
        <v>17.936582</v>
      </c>
      <c r="O24" s="132">
        <f t="shared" si="4"/>
        <v>17.968344000000002</v>
      </c>
      <c r="P24" s="130">
        <f t="shared" si="4"/>
        <v>39.577</v>
      </c>
      <c r="Q24" s="131">
        <f t="shared" si="4"/>
        <v>17.319999999999997</v>
      </c>
      <c r="R24" s="132">
        <f t="shared" si="4"/>
        <v>16.865307</v>
      </c>
      <c r="S24" s="130">
        <f>SUM(S4:S23)+0.000001</f>
        <v>40.7066623</v>
      </c>
      <c r="T24" s="131">
        <f>SUM(T4:T23)</f>
        <v>17.709839</v>
      </c>
      <c r="U24" s="132">
        <f>SUM(U4:U23)-0.000001</f>
        <v>18.147837699999997</v>
      </c>
      <c r="V24" s="130">
        <f>SUM(V4:V23)-0.003138</f>
        <v>41.9972013</v>
      </c>
      <c r="W24" s="131">
        <f>SUM(W4:W23)</f>
        <v>16.475116999999997</v>
      </c>
      <c r="X24" s="132">
        <f>SUM(X4:X23)+0.003138</f>
        <v>17.4700837</v>
      </c>
      <c r="Y24" s="130">
        <f>SUM(Y4:Y23)-0.005999</f>
        <v>266.25761542000004</v>
      </c>
      <c r="Z24" s="131">
        <f>SUM(Z4:Z23)</f>
        <v>118.66994857</v>
      </c>
      <c r="AA24" s="132">
        <f>SUM(AA4:AA23)+0.005999</f>
        <v>100.91849239999999</v>
      </c>
      <c r="AB24" s="74"/>
      <c r="AC24" s="69"/>
    </row>
    <row r="25" spans="1:29" s="45" customFormat="1" ht="36.75" thickBot="1">
      <c r="A25" s="108"/>
      <c r="B25" s="109"/>
      <c r="C25" s="68" t="s">
        <v>78</v>
      </c>
      <c r="D25" s="130">
        <v>31.64</v>
      </c>
      <c r="E25" s="131">
        <v>15.82</v>
      </c>
      <c r="F25" s="132">
        <f>31.64-D25</f>
        <v>0</v>
      </c>
      <c r="G25" s="130">
        <v>36.499</v>
      </c>
      <c r="H25" s="131">
        <v>16.21</v>
      </c>
      <c r="I25" s="132">
        <f>50.866-G25</f>
        <v>14.366999999999997</v>
      </c>
      <c r="J25" s="130">
        <v>37.422</v>
      </c>
      <c r="K25" s="131">
        <v>16.57</v>
      </c>
      <c r="L25" s="132">
        <f>51.899-J25</f>
        <v>14.477000000000004</v>
      </c>
      <c r="M25" s="130">
        <v>38.428</v>
      </c>
      <c r="N25" s="131">
        <v>16.94</v>
      </c>
      <c r="O25" s="132">
        <f>53.467-M25</f>
        <v>15.039000000000001</v>
      </c>
      <c r="P25" s="130">
        <v>39.578</v>
      </c>
      <c r="Q25" s="131">
        <v>17.32</v>
      </c>
      <c r="R25" s="132">
        <f>55.818-P25</f>
        <v>16.239999999999995</v>
      </c>
      <c r="S25" s="130">
        <v>40.62</v>
      </c>
      <c r="T25" s="131">
        <v>17.71</v>
      </c>
      <c r="U25" s="132">
        <f>58.08-S25</f>
        <v>17.46</v>
      </c>
      <c r="V25" s="130">
        <v>41.693</v>
      </c>
      <c r="W25" s="131">
        <v>18.1</v>
      </c>
      <c r="X25" s="132">
        <f>59.965-V25</f>
        <v>18.272000000000006</v>
      </c>
      <c r="Y25" s="130">
        <v>265.88</v>
      </c>
      <c r="Z25" s="131">
        <v>118.67</v>
      </c>
      <c r="AA25" s="132">
        <f>361.734-Y25</f>
        <v>95.85399999999998</v>
      </c>
      <c r="AB25" s="69"/>
      <c r="AC25" s="69"/>
    </row>
    <row r="26" spans="1:29" s="45" customFormat="1" ht="24.75" customHeight="1" thickBot="1">
      <c r="A26" s="110"/>
      <c r="B26" s="111"/>
      <c r="C26" s="70" t="s">
        <v>79</v>
      </c>
      <c r="D26" s="130"/>
      <c r="E26" s="131"/>
      <c r="F26" s="132"/>
      <c r="G26" s="130">
        <f>+G25-G24</f>
        <v>6.744042600000004</v>
      </c>
      <c r="H26" s="131">
        <f>+H25-H24</f>
        <v>2.908951139999999</v>
      </c>
      <c r="I26" s="132">
        <f>+I25-I24</f>
        <v>0.38262499999999733</v>
      </c>
      <c r="J26" s="130"/>
      <c r="K26" s="131"/>
      <c r="L26" s="132"/>
      <c r="M26" s="130"/>
      <c r="N26" s="131"/>
      <c r="O26" s="132"/>
      <c r="P26" s="130">
        <f>+P25-P24</f>
        <v>0.0010000000000047748</v>
      </c>
      <c r="Q26" s="131"/>
      <c r="R26" s="132"/>
      <c r="S26" s="130"/>
      <c r="T26" s="131">
        <f>+T25-T24</f>
        <v>0.00016100000000207615</v>
      </c>
      <c r="U26" s="132"/>
      <c r="V26" s="130"/>
      <c r="W26" s="131">
        <f>+W25-W24</f>
        <v>1.624883000000004</v>
      </c>
      <c r="X26" s="132">
        <f>+X25-X24</f>
        <v>0.8019163000000056</v>
      </c>
      <c r="Y26" s="130"/>
      <c r="Z26" s="131"/>
      <c r="AA26" s="132"/>
      <c r="AB26" s="69"/>
      <c r="AC26" s="69"/>
    </row>
    <row r="27" spans="1:29" s="45" customFormat="1" ht="24.75" customHeight="1" thickBot="1">
      <c r="A27" s="110"/>
      <c r="B27" s="111"/>
      <c r="C27" s="70" t="s">
        <v>80</v>
      </c>
      <c r="D27" s="130">
        <f>+D24-D25</f>
        <v>1.7873650999999953</v>
      </c>
      <c r="E27" s="131">
        <f>+E24-E25</f>
        <v>1.9532360499999974</v>
      </c>
      <c r="F27" s="132"/>
      <c r="G27" s="130"/>
      <c r="H27" s="131"/>
      <c r="I27" s="132"/>
      <c r="J27" s="130">
        <f aca="true" t="shared" si="5" ref="J27:O27">+J24-J25</f>
        <v>2.7243173200000044</v>
      </c>
      <c r="K27" s="131">
        <f t="shared" si="5"/>
        <v>1.5841246600000005</v>
      </c>
      <c r="L27" s="132">
        <f t="shared" si="5"/>
        <v>2.0026829999999975</v>
      </c>
      <c r="M27" s="130">
        <f t="shared" si="5"/>
        <v>2.2229750000000053</v>
      </c>
      <c r="N27" s="131">
        <f t="shared" si="5"/>
        <v>0.9965820000000001</v>
      </c>
      <c r="O27" s="132">
        <f t="shared" si="5"/>
        <v>2.9293440000000004</v>
      </c>
      <c r="P27" s="130"/>
      <c r="Q27" s="131"/>
      <c r="R27" s="132">
        <f>+R24-R25</f>
        <v>0.6253070000000065</v>
      </c>
      <c r="S27" s="130">
        <f>+S24-S25</f>
        <v>0.08666230000000041</v>
      </c>
      <c r="T27" s="131"/>
      <c r="U27" s="132">
        <f>+U24-U25</f>
        <v>0.6878376999999958</v>
      </c>
      <c r="V27" s="130">
        <f>+V24-V25</f>
        <v>0.30420130000000256</v>
      </c>
      <c r="W27" s="131"/>
      <c r="X27" s="132"/>
      <c r="Y27" s="130">
        <f>+Y24-Y25</f>
        <v>0.37761542000004056</v>
      </c>
      <c r="Z27" s="131"/>
      <c r="AA27" s="132">
        <f>+AA24-AA25</f>
        <v>5.064492400000006</v>
      </c>
      <c r="AB27" s="69"/>
      <c r="AC27" s="69"/>
    </row>
    <row r="28" spans="1:27" ht="12">
      <c r="A28" s="36"/>
      <c r="B28" s="36"/>
      <c r="C28" s="71"/>
      <c r="D28" s="72"/>
      <c r="E28" s="72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73"/>
      <c r="Z28" s="29"/>
      <c r="AA28" s="29"/>
    </row>
    <row r="29" spans="9:27" ht="12">
      <c r="I29" s="58"/>
      <c r="L29" s="58"/>
      <c r="U29" s="58"/>
      <c r="Y29" s="32"/>
      <c r="Z29" s="32"/>
      <c r="AA29" s="32"/>
    </row>
    <row r="30" spans="7:27" ht="12">
      <c r="G30" s="32"/>
      <c r="I30" s="58"/>
      <c r="J30" s="32"/>
      <c r="L30" s="58"/>
      <c r="O30" s="58"/>
      <c r="R30" s="58"/>
      <c r="Y30" s="58"/>
      <c r="AA30" s="58"/>
    </row>
    <row r="31" ht="12">
      <c r="G31" s="32"/>
    </row>
    <row r="32" spans="7:24" ht="12">
      <c r="G32" s="32"/>
      <c r="V32" s="58"/>
      <c r="X32" s="58"/>
    </row>
  </sheetData>
  <mergeCells count="16">
    <mergeCell ref="P1:R1"/>
    <mergeCell ref="P2:R2"/>
    <mergeCell ref="G1:I1"/>
    <mergeCell ref="G2:I2"/>
    <mergeCell ref="J1:L1"/>
    <mergeCell ref="J2:L2"/>
    <mergeCell ref="D1:F1"/>
    <mergeCell ref="D2:F2"/>
    <mergeCell ref="Y1:AA1"/>
    <mergeCell ref="Y2:AA2"/>
    <mergeCell ref="S1:U1"/>
    <mergeCell ref="S2:U2"/>
    <mergeCell ref="V1:X1"/>
    <mergeCell ref="V2:X2"/>
    <mergeCell ref="M1:O1"/>
    <mergeCell ref="M2:O2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45" r:id="rId1"/>
  <headerFooter alignWithMargins="0">
    <oddHeader>&amp;CPSR 2000-2006</oddHeader>
    <oddFooter>&amp;L&amp;P
&amp;N&amp;C&amp;"Arial Narrow,Normale"&amp;10&amp;F&amp;R&amp;A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U37"/>
  <sheetViews>
    <sheetView showGridLines="0" showZeros="0" workbookViewId="0" topLeftCell="A1">
      <selection activeCell="D8" sqref="D8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51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6"/>
      <c r="H6" s="137">
        <v>2002</v>
      </c>
      <c r="I6" s="136"/>
      <c r="J6" s="134">
        <v>2003</v>
      </c>
      <c r="K6" s="133"/>
      <c r="L6" s="134">
        <v>2004</v>
      </c>
      <c r="M6" s="135"/>
      <c r="N6" s="133">
        <v>2005</v>
      </c>
      <c r="O6" s="133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120"/>
      <c r="D7" s="16" t="s">
        <v>2</v>
      </c>
      <c r="E7" s="14" t="s">
        <v>44</v>
      </c>
      <c r="F7" s="14" t="s">
        <v>2</v>
      </c>
      <c r="G7" s="14" t="s">
        <v>44</v>
      </c>
      <c r="H7" s="14" t="s">
        <v>2</v>
      </c>
      <c r="I7" s="14" t="s">
        <v>44</v>
      </c>
      <c r="J7" s="90" t="s">
        <v>2</v>
      </c>
      <c r="K7" s="90" t="s">
        <v>44</v>
      </c>
      <c r="L7" s="90" t="s">
        <v>2</v>
      </c>
      <c r="M7" s="90" t="s">
        <v>44</v>
      </c>
      <c r="N7" s="90" t="s">
        <v>2</v>
      </c>
      <c r="O7" s="90" t="s">
        <v>44</v>
      </c>
      <c r="P7" s="90" t="s">
        <v>2</v>
      </c>
      <c r="Q7" s="90" t="s">
        <v>44</v>
      </c>
      <c r="R7" s="90" t="s">
        <v>2</v>
      </c>
      <c r="S7" s="90" t="s">
        <v>44</v>
      </c>
    </row>
    <row r="8" spans="1:19" ht="22.5">
      <c r="A8" s="118">
        <v>1</v>
      </c>
      <c r="B8" s="88" t="s">
        <v>56</v>
      </c>
      <c r="C8" s="46" t="s">
        <v>14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6">
        <f>+P8+N8+L8+J8+H8+F8+D8</f>
        <v>0</v>
      </c>
      <c r="S8" s="76">
        <f>+Q8+O8+M8+K8+I8+G8+E8</f>
        <v>0</v>
      </c>
    </row>
    <row r="9" spans="1:19" ht="22.5">
      <c r="A9" s="88">
        <v>2</v>
      </c>
      <c r="B9" s="88" t="s">
        <v>57</v>
      </c>
      <c r="C9" s="6" t="s">
        <v>15</v>
      </c>
      <c r="D9" s="75">
        <v>0</v>
      </c>
      <c r="E9" s="75">
        <v>0</v>
      </c>
      <c r="F9" s="75">
        <v>0.583</v>
      </c>
      <c r="G9" s="75">
        <v>0.583</v>
      </c>
      <c r="H9" s="75">
        <v>0.585</v>
      </c>
      <c r="I9" s="75">
        <v>0.585</v>
      </c>
      <c r="J9" s="78">
        <v>0.581</v>
      </c>
      <c r="K9" s="78">
        <v>0.581</v>
      </c>
      <c r="L9" s="78">
        <v>0.845</v>
      </c>
      <c r="M9" s="78">
        <v>0.845</v>
      </c>
      <c r="N9" s="78">
        <v>0.845</v>
      </c>
      <c r="O9" s="78">
        <v>0.845</v>
      </c>
      <c r="P9" s="78">
        <v>0.845</v>
      </c>
      <c r="Q9" s="78">
        <v>0.845</v>
      </c>
      <c r="R9" s="76">
        <f>+P9+N9+L9+J9+H9+F9+D9+0.002</f>
        <v>4.286</v>
      </c>
      <c r="S9" s="76">
        <f>+Q9+O9+M9+K9+I9+G9+E9+0.002</f>
        <v>4.286</v>
      </c>
    </row>
    <row r="10" spans="1:19" ht="12.75">
      <c r="A10" s="88">
        <v>3</v>
      </c>
      <c r="B10" s="88" t="s">
        <v>58</v>
      </c>
      <c r="C10" s="6" t="s">
        <v>16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7">
        <f>+P10+N10+L10+J10+H10+F10+D10</f>
        <v>0</v>
      </c>
      <c r="S10" s="77">
        <f>+Q10+O10+M10+K10+I10+G10+E10</f>
        <v>0</v>
      </c>
    </row>
    <row r="11" spans="1:19" ht="22.5">
      <c r="A11" s="88">
        <v>4</v>
      </c>
      <c r="B11" s="88" t="s">
        <v>59</v>
      </c>
      <c r="C11" s="6" t="s">
        <v>17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7">
        <f>+P11+N11+L11+J11+H11+F11+D11</f>
        <v>0</v>
      </c>
      <c r="S11" s="77">
        <f>+Q11+O11+M11+K11+I11+G11+E11</f>
        <v>0</v>
      </c>
    </row>
    <row r="12" spans="1:19" ht="45">
      <c r="A12" s="88" t="s">
        <v>21</v>
      </c>
      <c r="B12" s="88" t="s">
        <v>72</v>
      </c>
      <c r="C12" s="6" t="s">
        <v>39</v>
      </c>
      <c r="D12" s="75"/>
      <c r="E12" s="75"/>
      <c r="F12" s="75"/>
      <c r="G12" s="75"/>
      <c r="H12" s="75"/>
      <c r="I12" s="75"/>
      <c r="J12" s="78"/>
      <c r="K12" s="78"/>
      <c r="L12" s="78"/>
      <c r="M12" s="78"/>
      <c r="N12" s="78"/>
      <c r="O12" s="78"/>
      <c r="P12" s="78"/>
      <c r="Q12" s="78"/>
      <c r="R12" s="76"/>
      <c r="S12" s="76"/>
    </row>
    <row r="13" spans="1:19" ht="16.5" customHeight="1">
      <c r="A13" s="88" t="s">
        <v>22</v>
      </c>
      <c r="B13" s="88"/>
      <c r="C13" s="6" t="s">
        <v>24</v>
      </c>
      <c r="D13" s="75"/>
      <c r="E13" s="75"/>
      <c r="F13" s="75"/>
      <c r="G13" s="75"/>
      <c r="H13" s="75"/>
      <c r="I13" s="75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33.75">
      <c r="A14" s="88" t="s">
        <v>23</v>
      </c>
      <c r="B14" s="88"/>
      <c r="C14" s="6" t="s">
        <v>40</v>
      </c>
      <c r="D14" s="75"/>
      <c r="E14" s="75"/>
      <c r="F14" s="75"/>
      <c r="G14" s="75"/>
      <c r="H14" s="75"/>
      <c r="I14" s="75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45">
      <c r="A15" s="88" t="s">
        <v>11</v>
      </c>
      <c r="B15" s="88" t="s">
        <v>60</v>
      </c>
      <c r="C15" s="6" t="s">
        <v>18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f>+P15+N15+L15+J15+H15+F15+D15</f>
        <v>0</v>
      </c>
      <c r="S15" s="78">
        <f>+Q15+O15+M15+K15+I15+G15+E15</f>
        <v>0</v>
      </c>
    </row>
    <row r="16" spans="1:19" ht="56.25">
      <c r="A16" s="88" t="s">
        <v>12</v>
      </c>
      <c r="B16" s="88"/>
      <c r="C16" s="6" t="s">
        <v>19</v>
      </c>
      <c r="D16" s="75"/>
      <c r="E16" s="75"/>
      <c r="F16" s="75"/>
      <c r="G16" s="75"/>
      <c r="H16" s="75"/>
      <c r="I16" s="75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67.5">
      <c r="A17" s="88" t="s">
        <v>13</v>
      </c>
      <c r="B17" s="88"/>
      <c r="C17" s="6" t="s">
        <v>20</v>
      </c>
      <c r="D17" s="75"/>
      <c r="E17" s="75"/>
      <c r="F17" s="75"/>
      <c r="G17" s="75"/>
      <c r="H17" s="75"/>
      <c r="I17" s="75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33.75">
      <c r="A18" s="88"/>
      <c r="B18" s="88" t="s">
        <v>61</v>
      </c>
      <c r="C18" s="6" t="s">
        <v>7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f aca="true" t="shared" si="0" ref="R18:S22">+P18+N18+L18+J18+H18+F18+D18</f>
        <v>0</v>
      </c>
      <c r="S18" s="78">
        <f t="shared" si="0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0"/>
        <v>0</v>
      </c>
      <c r="S19" s="78">
        <f t="shared" si="0"/>
        <v>0</v>
      </c>
    </row>
    <row r="20" spans="1:19" ht="33.75">
      <c r="A20" s="88">
        <v>7</v>
      </c>
      <c r="B20" s="88" t="s">
        <v>67</v>
      </c>
      <c r="C20" s="6" t="s">
        <v>26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8">
        <v>0.05</v>
      </c>
      <c r="K20" s="78">
        <v>0.04</v>
      </c>
      <c r="L20" s="78">
        <f>+M20/0.8</f>
        <v>0.08750000000000001</v>
      </c>
      <c r="M20" s="78">
        <v>0.07</v>
      </c>
      <c r="N20" s="78">
        <f>+O20/0.8</f>
        <v>0.08750000000000001</v>
      </c>
      <c r="O20" s="78">
        <v>0.07</v>
      </c>
      <c r="P20" s="78">
        <f>+Q20/0.8</f>
        <v>0.08750000000000001</v>
      </c>
      <c r="Q20" s="78">
        <v>0.07</v>
      </c>
      <c r="R20" s="76">
        <f t="shared" si="0"/>
        <v>0.3125</v>
      </c>
      <c r="S20" s="76">
        <f t="shared" si="0"/>
        <v>0.25</v>
      </c>
    </row>
    <row r="21" spans="1:19" ht="12.75">
      <c r="A21" s="88">
        <v>8</v>
      </c>
      <c r="B21" s="88" t="s">
        <v>62</v>
      </c>
      <c r="C21" s="6" t="s">
        <v>27</v>
      </c>
      <c r="D21" s="75">
        <v>0</v>
      </c>
      <c r="E21" s="75">
        <v>0</v>
      </c>
      <c r="F21" s="75">
        <v>0.065</v>
      </c>
      <c r="G21" s="75">
        <v>0.065</v>
      </c>
      <c r="H21" s="75">
        <v>0.0909</v>
      </c>
      <c r="I21" s="75">
        <v>0.0909</v>
      </c>
      <c r="J21" s="78">
        <f>0.135+0.0541</f>
        <v>0.18910000000000002</v>
      </c>
      <c r="K21" s="78">
        <f>0.135+0.0541</f>
        <v>0.18910000000000002</v>
      </c>
      <c r="L21" s="78">
        <v>0.135</v>
      </c>
      <c r="M21" s="78">
        <v>0.135</v>
      </c>
      <c r="N21" s="78">
        <v>0.135</v>
      </c>
      <c r="O21" s="78">
        <v>0.135</v>
      </c>
      <c r="P21" s="78">
        <v>0.135</v>
      </c>
      <c r="Q21" s="78">
        <v>0.135</v>
      </c>
      <c r="R21" s="78">
        <f t="shared" si="0"/>
        <v>0.75</v>
      </c>
      <c r="S21" s="78">
        <f t="shared" si="0"/>
        <v>0.75</v>
      </c>
    </row>
    <row r="22" spans="1:19" ht="45">
      <c r="A22" s="88">
        <v>9</v>
      </c>
      <c r="B22" s="88" t="s">
        <v>63</v>
      </c>
      <c r="C22" s="6" t="s">
        <v>28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f t="shared" si="0"/>
        <v>0</v>
      </c>
      <c r="S22" s="78">
        <f t="shared" si="0"/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</v>
      </c>
      <c r="E23" s="75">
        <v>0</v>
      </c>
      <c r="F23" s="75">
        <v>0</v>
      </c>
      <c r="G23" s="75">
        <v>0</v>
      </c>
      <c r="H23" s="75">
        <v>0.100721</v>
      </c>
      <c r="I23" s="75">
        <v>0.0805768</v>
      </c>
      <c r="J23" s="78">
        <v>0</v>
      </c>
      <c r="K23" s="78">
        <v>0</v>
      </c>
      <c r="L23" s="78">
        <v>0.003</v>
      </c>
      <c r="M23" s="78">
        <v>0.0024</v>
      </c>
      <c r="N23" s="78">
        <v>0.041</v>
      </c>
      <c r="O23" s="78">
        <v>0.033</v>
      </c>
      <c r="P23" s="78">
        <v>0.041</v>
      </c>
      <c r="Q23" s="78">
        <f>0.033+0.001</f>
        <v>0.034</v>
      </c>
      <c r="R23" s="78">
        <f>+P23+N23+L23+J23+H23+F23+D23+0.001</f>
        <v>0.18672100000000003</v>
      </c>
      <c r="S23" s="78">
        <f>+Q23+O23+M23+K23+I23+G23+E23</f>
        <v>0.14997680000000002</v>
      </c>
    </row>
    <row r="24" spans="1:19" ht="33.75">
      <c r="A24" s="88">
        <v>11</v>
      </c>
      <c r="B24" s="88" t="s">
        <v>69</v>
      </c>
      <c r="C24" s="6" t="s">
        <v>30</v>
      </c>
      <c r="D24" s="75">
        <v>0</v>
      </c>
      <c r="E24" s="75">
        <v>0</v>
      </c>
      <c r="F24" s="75">
        <v>0</v>
      </c>
      <c r="G24" s="75">
        <v>0</v>
      </c>
      <c r="H24" s="75">
        <v>0.0284905</v>
      </c>
      <c r="I24" s="75">
        <v>0.0227924</v>
      </c>
      <c r="J24" s="78">
        <f>1.199+1.113</f>
        <v>2.3120000000000003</v>
      </c>
      <c r="K24" s="78">
        <f>0.959+0.89</f>
        <v>1.849</v>
      </c>
      <c r="L24" s="78">
        <v>1.199</v>
      </c>
      <c r="M24" s="78">
        <v>0.959</v>
      </c>
      <c r="N24" s="78">
        <f>0.907+0.2</f>
        <v>1.107</v>
      </c>
      <c r="O24" s="78">
        <f>0.725+0.16</f>
        <v>0.885</v>
      </c>
      <c r="P24" s="78">
        <f>0.966+0.239</f>
        <v>1.205</v>
      </c>
      <c r="Q24" s="78">
        <f>0.772+0.191</f>
        <v>0.9630000000000001</v>
      </c>
      <c r="R24" s="78">
        <f>+P24+N24+L24+J24+H24+F24+D24-0.001</f>
        <v>5.8504905</v>
      </c>
      <c r="S24" s="78">
        <f>+Q24+O24+M24+K24+I24+G24+E24+0.001</f>
        <v>4.6797924</v>
      </c>
    </row>
    <row r="25" spans="1:19" ht="22.5">
      <c r="A25" s="88">
        <v>12</v>
      </c>
      <c r="B25" s="88" t="s">
        <v>70</v>
      </c>
      <c r="C25" s="6" t="s">
        <v>31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6">
        <v>0</v>
      </c>
      <c r="R25" s="76">
        <f aca="true" t="shared" si="1" ref="R25:S28">+P25+N25+L25+J25+H25+F25+D25</f>
        <v>0</v>
      </c>
      <c r="S25" s="76">
        <f t="shared" si="1"/>
        <v>0</v>
      </c>
    </row>
    <row r="26" spans="1:19" s="4" customFormat="1" ht="12.75">
      <c r="A26" s="88">
        <v>13</v>
      </c>
      <c r="B26" s="88" t="s">
        <v>64</v>
      </c>
      <c r="C26" s="6" t="s">
        <v>32</v>
      </c>
      <c r="D26" s="75">
        <v>0</v>
      </c>
      <c r="E26" s="75">
        <v>0</v>
      </c>
      <c r="F26" s="75">
        <f>0.2262497+0.57694377</f>
        <v>0.80319347</v>
      </c>
      <c r="G26" s="75">
        <f>+F26</f>
        <v>0.80319347</v>
      </c>
      <c r="H26" s="75">
        <f>0.23563117+0.4528456</f>
        <v>0.6884767700000001</v>
      </c>
      <c r="I26" s="75">
        <f>+H26</f>
        <v>0.6884767700000001</v>
      </c>
      <c r="J26" s="76">
        <f>1.1+0.262</f>
        <v>1.362</v>
      </c>
      <c r="K26" s="76">
        <f>+J26</f>
        <v>1.362</v>
      </c>
      <c r="L26" s="76">
        <v>1.1</v>
      </c>
      <c r="M26" s="76">
        <v>1.1</v>
      </c>
      <c r="N26" s="76">
        <v>1.1</v>
      </c>
      <c r="O26" s="76">
        <v>1.1</v>
      </c>
      <c r="P26" s="76">
        <v>1.1</v>
      </c>
      <c r="Q26" s="76">
        <v>1.1</v>
      </c>
      <c r="R26" s="76">
        <f t="shared" si="1"/>
        <v>6.153670240000001</v>
      </c>
      <c r="S26" s="76">
        <f t="shared" si="1"/>
        <v>6.153670240000001</v>
      </c>
    </row>
    <row r="27" spans="1:19" s="4" customFormat="1" ht="12.75">
      <c r="A27" s="88"/>
      <c r="B27" s="88"/>
      <c r="C27" s="6" t="s">
        <v>5</v>
      </c>
      <c r="D27" s="75">
        <f>0.14899785+0.54940073</f>
        <v>0.69839858</v>
      </c>
      <c r="E27" s="75">
        <f>+D27</f>
        <v>0.69839858</v>
      </c>
      <c r="F27" s="75">
        <f>0.00326916+0.02470733</f>
        <v>0.02797649</v>
      </c>
      <c r="G27" s="75">
        <f>+F27</f>
        <v>0.02797649</v>
      </c>
      <c r="H27" s="75">
        <f>+0.020313</f>
        <v>0.020313</v>
      </c>
      <c r="I27" s="75">
        <f>+H27</f>
        <v>0.020313</v>
      </c>
      <c r="J27" s="76">
        <v>0.1</v>
      </c>
      <c r="K27" s="76">
        <v>0.1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f t="shared" si="1"/>
        <v>0.84668807</v>
      </c>
      <c r="S27" s="76">
        <f t="shared" si="1"/>
        <v>0.84668807</v>
      </c>
    </row>
    <row r="28" spans="1:19" ht="33.75">
      <c r="A28" s="88">
        <v>14</v>
      </c>
      <c r="B28" s="88" t="s">
        <v>65</v>
      </c>
      <c r="C28" s="6" t="s">
        <v>33</v>
      </c>
      <c r="D28" s="75">
        <v>0</v>
      </c>
      <c r="E28" s="75">
        <v>0</v>
      </c>
      <c r="F28" s="75">
        <v>2.44489879</v>
      </c>
      <c r="G28" s="75">
        <f>+F28</f>
        <v>2.44489879</v>
      </c>
      <c r="H28" s="75">
        <v>1.81330271</v>
      </c>
      <c r="I28" s="75">
        <f>+H28</f>
        <v>1.81330271</v>
      </c>
      <c r="J28" s="78">
        <f>3.596+1.692</f>
        <v>5.288</v>
      </c>
      <c r="K28" s="78">
        <f>+J28</f>
        <v>5.288</v>
      </c>
      <c r="L28" s="78">
        <f>3.596+1.691</f>
        <v>5.287</v>
      </c>
      <c r="M28" s="78">
        <f>+L28</f>
        <v>5.287</v>
      </c>
      <c r="N28" s="78">
        <f>1.691+3.596</f>
        <v>5.287</v>
      </c>
      <c r="O28" s="78">
        <f>+N28</f>
        <v>5.287</v>
      </c>
      <c r="P28" s="78">
        <v>3.593</v>
      </c>
      <c r="Q28" s="76">
        <f>+P28</f>
        <v>3.593</v>
      </c>
      <c r="R28" s="76">
        <f t="shared" si="1"/>
        <v>23.713201499999997</v>
      </c>
      <c r="S28" s="76">
        <f t="shared" si="1"/>
        <v>23.713201499999997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6">
        <v>0</v>
      </c>
      <c r="R29" s="77">
        <f>+P29+N29+L29+J29+H29+F29+D29</f>
        <v>0</v>
      </c>
      <c r="S29" s="77">
        <f>+Q29+O29+M29+K29+I29+G29+E29</f>
        <v>0</v>
      </c>
    </row>
    <row r="30" spans="1:19" ht="45">
      <c r="A30" s="88" t="s">
        <v>36</v>
      </c>
      <c r="B30" s="88" t="s">
        <v>60</v>
      </c>
      <c r="C30" s="6" t="s">
        <v>35</v>
      </c>
      <c r="D30" s="75">
        <f aca="true" t="shared" si="2" ref="D30:Q30">SUM(D31:D32)</f>
        <v>0</v>
      </c>
      <c r="E30" s="75">
        <f t="shared" si="2"/>
        <v>0</v>
      </c>
      <c r="F30" s="75">
        <f t="shared" si="2"/>
        <v>0</v>
      </c>
      <c r="G30" s="75">
        <f t="shared" si="2"/>
        <v>0</v>
      </c>
      <c r="H30" s="75">
        <f t="shared" si="2"/>
        <v>0</v>
      </c>
      <c r="I30" s="75">
        <f t="shared" si="2"/>
        <v>0</v>
      </c>
      <c r="J30" s="78">
        <f t="shared" si="2"/>
        <v>1.076</v>
      </c>
      <c r="K30" s="78">
        <f t="shared" si="2"/>
        <v>0.915</v>
      </c>
      <c r="L30" s="78">
        <f t="shared" si="2"/>
        <v>0.591</v>
      </c>
      <c r="M30" s="78">
        <f t="shared" si="2"/>
        <v>0.503</v>
      </c>
      <c r="N30" s="78">
        <f t="shared" si="2"/>
        <v>0.714</v>
      </c>
      <c r="O30" s="78">
        <f t="shared" si="2"/>
        <v>0.608</v>
      </c>
      <c r="P30" s="78">
        <f t="shared" si="2"/>
        <v>1.384</v>
      </c>
      <c r="Q30" s="76">
        <f t="shared" si="2"/>
        <v>1.178</v>
      </c>
      <c r="R30" s="76">
        <f>+P30+N30+L30+J30+H30+F30+D30-0.002</f>
        <v>3.7630000000000003</v>
      </c>
      <c r="S30" s="76">
        <f>+Q30+O30+M30+K30+I30+G30+E30-0.002</f>
        <v>3.2020000000000004</v>
      </c>
    </row>
    <row r="31" spans="1:19" ht="45">
      <c r="A31" s="88" t="s">
        <v>9</v>
      </c>
      <c r="B31" s="88"/>
      <c r="C31" s="6" t="s">
        <v>38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8">
        <f>0.541+0.535</f>
        <v>1.076</v>
      </c>
      <c r="K31" s="78">
        <f>0.46+0.455</f>
        <v>0.915</v>
      </c>
      <c r="L31" s="78">
        <v>0.591</v>
      </c>
      <c r="M31" s="78">
        <v>0.503</v>
      </c>
      <c r="N31" s="78">
        <v>0.714</v>
      </c>
      <c r="O31" s="78">
        <v>0.608</v>
      </c>
      <c r="P31" s="78">
        <f>0.757+0.627</f>
        <v>1.384</v>
      </c>
      <c r="Q31" s="78">
        <f>0.644+0.534</f>
        <v>1.178</v>
      </c>
      <c r="R31" s="78">
        <f>+P31+N31+L31+J31+H31+F31+D31-0.002</f>
        <v>3.7630000000000003</v>
      </c>
      <c r="S31" s="78">
        <f>+Q31+O31+M31+K31+I31+G31+E31-0.002</f>
        <v>3.2020000000000004</v>
      </c>
    </row>
    <row r="32" spans="1:19" ht="22.5">
      <c r="A32" s="88" t="s">
        <v>10</v>
      </c>
      <c r="B32" s="88"/>
      <c r="C32" s="6" t="s">
        <v>37</v>
      </c>
      <c r="D32" s="75"/>
      <c r="E32" s="75"/>
      <c r="F32" s="75"/>
      <c r="G32" s="75"/>
      <c r="H32" s="75"/>
      <c r="I32" s="75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s="3" customFormat="1" ht="12.75">
      <c r="A33" s="119"/>
      <c r="B33" s="88"/>
      <c r="C33" s="8" t="s">
        <v>4</v>
      </c>
      <c r="D33" s="75">
        <f aca="true" t="shared" si="3" ref="D33:J33">SUM(D8:D30)</f>
        <v>0.69839858</v>
      </c>
      <c r="E33" s="75">
        <f t="shared" si="3"/>
        <v>0.69839858</v>
      </c>
      <c r="F33" s="75">
        <f t="shared" si="3"/>
        <v>3.9240687499999996</v>
      </c>
      <c r="G33" s="75">
        <f t="shared" si="3"/>
        <v>3.9240687499999996</v>
      </c>
      <c r="H33" s="75">
        <f t="shared" si="3"/>
        <v>3.32720398</v>
      </c>
      <c r="I33" s="75">
        <f t="shared" si="3"/>
        <v>3.3013616800000003</v>
      </c>
      <c r="J33" s="79">
        <f t="shared" si="3"/>
        <v>10.958100000000002</v>
      </c>
      <c r="K33" s="79">
        <f>SUM(K8:K30)+0.001</f>
        <v>10.3251</v>
      </c>
      <c r="L33" s="79">
        <f aca="true" t="shared" si="4" ref="L33:S33">SUM(L8:L30)</f>
        <v>9.247499999999999</v>
      </c>
      <c r="M33" s="79">
        <f t="shared" si="4"/>
        <v>8.9014</v>
      </c>
      <c r="N33" s="79">
        <f t="shared" si="4"/>
        <v>9.3165</v>
      </c>
      <c r="O33" s="79">
        <f t="shared" si="4"/>
        <v>8.963000000000001</v>
      </c>
      <c r="P33" s="79">
        <f t="shared" si="4"/>
        <v>8.3905</v>
      </c>
      <c r="Q33" s="79">
        <f t="shared" si="4"/>
        <v>7.918</v>
      </c>
      <c r="R33" s="79">
        <f>SUM(R8:R30)-0.001</f>
        <v>45.86127130999999</v>
      </c>
      <c r="S33" s="79">
        <f t="shared" si="4"/>
        <v>44.03132900999999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9" ht="12.75">
      <c r="B35" s="3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8" ht="12.75">
      <c r="B36" s="35"/>
      <c r="C36" s="25"/>
      <c r="R36" s="7"/>
    </row>
    <row r="37" spans="2:21" ht="12.75">
      <c r="B37" s="3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S37"/>
  <sheetViews>
    <sheetView showGridLines="0" showZeros="0" workbookViewId="0" topLeftCell="A1">
      <selection activeCell="D9" sqref="D9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52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6"/>
      <c r="H6" s="137">
        <v>2002</v>
      </c>
      <c r="I6" s="136"/>
      <c r="J6" s="134">
        <v>2003</v>
      </c>
      <c r="K6" s="133"/>
      <c r="L6" s="134">
        <v>2004</v>
      </c>
      <c r="M6" s="135"/>
      <c r="N6" s="133">
        <v>2005</v>
      </c>
      <c r="O6" s="133"/>
      <c r="P6" s="134">
        <v>2006</v>
      </c>
      <c r="Q6" s="135"/>
      <c r="R6" s="133"/>
      <c r="S6" s="135"/>
    </row>
    <row r="7" spans="1:19" ht="38.25">
      <c r="A7" s="86" t="s">
        <v>74</v>
      </c>
      <c r="B7" s="86" t="s">
        <v>76</v>
      </c>
      <c r="C7" s="120"/>
      <c r="D7" s="16" t="s">
        <v>41</v>
      </c>
      <c r="E7" s="14" t="s">
        <v>44</v>
      </c>
      <c r="F7" s="16" t="s">
        <v>41</v>
      </c>
      <c r="G7" s="14" t="s">
        <v>44</v>
      </c>
      <c r="H7" s="16" t="s">
        <v>41</v>
      </c>
      <c r="I7" s="14" t="s">
        <v>44</v>
      </c>
      <c r="J7" s="92" t="s">
        <v>41</v>
      </c>
      <c r="K7" s="90" t="s">
        <v>44</v>
      </c>
      <c r="L7" s="92" t="s">
        <v>41</v>
      </c>
      <c r="M7" s="90" t="s">
        <v>44</v>
      </c>
      <c r="N7" s="92" t="s">
        <v>41</v>
      </c>
      <c r="O7" s="90" t="s">
        <v>44</v>
      </c>
      <c r="P7" s="92" t="s">
        <v>41</v>
      </c>
      <c r="Q7" s="90" t="s">
        <v>44</v>
      </c>
      <c r="R7" s="92" t="s">
        <v>41</v>
      </c>
      <c r="S7" s="90" t="s">
        <v>44</v>
      </c>
    </row>
    <row r="8" spans="1:19" ht="22.5">
      <c r="A8" s="118">
        <v>1</v>
      </c>
      <c r="B8" s="88" t="s">
        <v>56</v>
      </c>
      <c r="C8" s="46" t="s">
        <v>14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f>+P8+N8+L8+J8+H8+F8+D8</f>
        <v>0</v>
      </c>
      <c r="S8" s="78">
        <f>+Q8+O8+M8+K8+I8+G8+E8</f>
        <v>0</v>
      </c>
    </row>
    <row r="9" spans="1:19" ht="22.5">
      <c r="A9" s="88">
        <v>2</v>
      </c>
      <c r="B9" s="88" t="s">
        <v>57</v>
      </c>
      <c r="C9" s="6" t="s">
        <v>15</v>
      </c>
      <c r="D9" s="75">
        <v>0</v>
      </c>
      <c r="E9" s="75">
        <v>0</v>
      </c>
      <c r="F9" s="75">
        <v>0.583</v>
      </c>
      <c r="G9" s="75">
        <v>0.583</v>
      </c>
      <c r="H9" s="75">
        <v>0.585</v>
      </c>
      <c r="I9" s="75">
        <v>0.585</v>
      </c>
      <c r="J9" s="78">
        <v>0.581</v>
      </c>
      <c r="K9" s="78">
        <v>0.581</v>
      </c>
      <c r="L9" s="78">
        <f>0.583+0.262</f>
        <v>0.845</v>
      </c>
      <c r="M9" s="78">
        <f>+L9</f>
        <v>0.845</v>
      </c>
      <c r="N9" s="78">
        <f>0.583+0.262</f>
        <v>0.845</v>
      </c>
      <c r="O9" s="78">
        <f>+N9</f>
        <v>0.845</v>
      </c>
      <c r="P9" s="78">
        <f>0.583+0.262</f>
        <v>0.845</v>
      </c>
      <c r="Q9" s="78">
        <f>+P9</f>
        <v>0.845</v>
      </c>
      <c r="R9" s="78">
        <f>+P9+N9+L9+J9+H9+F9+D9+0.002</f>
        <v>4.286</v>
      </c>
      <c r="S9" s="78">
        <f>+Q9+O9+M9+K9+I9+G9+E9+0.002</f>
        <v>4.286</v>
      </c>
    </row>
    <row r="10" spans="1:19" ht="12.75">
      <c r="A10" s="88">
        <v>3</v>
      </c>
      <c r="B10" s="88" t="s">
        <v>58</v>
      </c>
      <c r="C10" s="6" t="s">
        <v>16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f>+P10+N10+L10+J10+H10+F10+D10</f>
        <v>0</v>
      </c>
      <c r="S10" s="78">
        <f>+Q10+O10+M10+K10+I10+G10+E10</f>
        <v>0</v>
      </c>
    </row>
    <row r="11" spans="1:19" ht="22.5">
      <c r="A11" s="88">
        <v>4</v>
      </c>
      <c r="B11" s="88" t="s">
        <v>59</v>
      </c>
      <c r="C11" s="6" t="s">
        <v>17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</row>
    <row r="12" spans="1:19" ht="45">
      <c r="A12" s="88" t="s">
        <v>21</v>
      </c>
      <c r="B12" s="88" t="s">
        <v>72</v>
      </c>
      <c r="C12" s="6" t="s">
        <v>39</v>
      </c>
      <c r="D12" s="80"/>
      <c r="E12" s="80"/>
      <c r="F12" s="80"/>
      <c r="G12" s="80"/>
      <c r="H12" s="80"/>
      <c r="I12" s="80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6.5" customHeight="1">
      <c r="A13" s="88" t="s">
        <v>22</v>
      </c>
      <c r="B13" s="88"/>
      <c r="C13" s="6" t="s">
        <v>24</v>
      </c>
      <c r="D13" s="80"/>
      <c r="E13" s="80"/>
      <c r="F13" s="80"/>
      <c r="G13" s="80"/>
      <c r="H13" s="80"/>
      <c r="I13" s="80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33.75">
      <c r="A14" s="88" t="s">
        <v>23</v>
      </c>
      <c r="B14" s="88"/>
      <c r="C14" s="6" t="s">
        <v>40</v>
      </c>
      <c r="D14" s="80"/>
      <c r="E14" s="80"/>
      <c r="F14" s="80"/>
      <c r="G14" s="80"/>
      <c r="H14" s="80"/>
      <c r="I14" s="80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45">
      <c r="A15" s="88" t="s">
        <v>11</v>
      </c>
      <c r="B15" s="88" t="s">
        <v>60</v>
      </c>
      <c r="C15" s="6" t="s">
        <v>18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f>+P15+N15+L15+J15+H15+F15+D15</f>
        <v>0</v>
      </c>
      <c r="S15" s="78">
        <f>+Q15+O15+M15+K15+I15+G15+E15</f>
        <v>0</v>
      </c>
    </row>
    <row r="16" spans="1:19" ht="56.25">
      <c r="A16" s="88" t="s">
        <v>12</v>
      </c>
      <c r="B16" s="88"/>
      <c r="C16" s="6" t="s">
        <v>19</v>
      </c>
      <c r="D16" s="80"/>
      <c r="E16" s="80"/>
      <c r="F16" s="80"/>
      <c r="G16" s="80"/>
      <c r="H16" s="80"/>
      <c r="I16" s="80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67.5">
      <c r="A17" s="88" t="s">
        <v>13</v>
      </c>
      <c r="B17" s="88"/>
      <c r="C17" s="6" t="s">
        <v>20</v>
      </c>
      <c r="D17" s="80"/>
      <c r="E17" s="80"/>
      <c r="F17" s="80"/>
      <c r="G17" s="80"/>
      <c r="H17" s="80"/>
      <c r="I17" s="80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33.75">
      <c r="A18" s="88"/>
      <c r="B18" s="88" t="s">
        <v>61</v>
      </c>
      <c r="C18" s="6" t="s">
        <v>7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f aca="true" t="shared" si="0" ref="R18:S23">+P18+N18+L18+J18+H18+F18+D18</f>
        <v>0</v>
      </c>
      <c r="S18" s="78">
        <f t="shared" si="0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0"/>
        <v>0</v>
      </c>
      <c r="S19" s="78">
        <f t="shared" si="0"/>
        <v>0</v>
      </c>
    </row>
    <row r="20" spans="1:19" ht="33.75">
      <c r="A20" s="88">
        <v>7</v>
      </c>
      <c r="B20" s="88" t="s">
        <v>67</v>
      </c>
      <c r="C20" s="6" t="s">
        <v>26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8">
        <v>0.04</v>
      </c>
      <c r="K20" s="78">
        <v>0.04</v>
      </c>
      <c r="L20" s="78">
        <f>0.028+0.042</f>
        <v>0.07</v>
      </c>
      <c r="M20" s="78">
        <f>+L20</f>
        <v>0.07</v>
      </c>
      <c r="N20" s="78">
        <f>0.028+0.042</f>
        <v>0.07</v>
      </c>
      <c r="O20" s="78">
        <f>+N20</f>
        <v>0.07</v>
      </c>
      <c r="P20" s="78">
        <f>0.028+0.042</f>
        <v>0.07</v>
      </c>
      <c r="Q20" s="78">
        <f>+P20</f>
        <v>0.07</v>
      </c>
      <c r="R20" s="78">
        <f t="shared" si="0"/>
        <v>0.25</v>
      </c>
      <c r="S20" s="78">
        <f t="shared" si="0"/>
        <v>0.25</v>
      </c>
    </row>
    <row r="21" spans="1:19" ht="12.75">
      <c r="A21" s="88">
        <v>8</v>
      </c>
      <c r="B21" s="88" t="s">
        <v>62</v>
      </c>
      <c r="C21" s="6" t="s">
        <v>27</v>
      </c>
      <c r="D21" s="75">
        <v>0</v>
      </c>
      <c r="E21" s="75">
        <v>0</v>
      </c>
      <c r="F21" s="75">
        <v>0.065</v>
      </c>
      <c r="G21" s="75">
        <v>0.065</v>
      </c>
      <c r="H21" s="75">
        <v>0.0909</v>
      </c>
      <c r="I21" s="75">
        <v>0.0909</v>
      </c>
      <c r="J21" s="78">
        <f>0.135+0.0541</f>
        <v>0.18910000000000002</v>
      </c>
      <c r="K21" s="78">
        <f>0.135+0.0541</f>
        <v>0.18910000000000002</v>
      </c>
      <c r="L21" s="78">
        <v>0.135</v>
      </c>
      <c r="M21" s="78">
        <v>0.135</v>
      </c>
      <c r="N21" s="78">
        <v>0.135</v>
      </c>
      <c r="O21" s="78">
        <v>0.135</v>
      </c>
      <c r="P21" s="78">
        <v>0.135</v>
      </c>
      <c r="Q21" s="78">
        <v>0.135</v>
      </c>
      <c r="R21" s="78">
        <f t="shared" si="0"/>
        <v>0.75</v>
      </c>
      <c r="S21" s="78">
        <f t="shared" si="0"/>
        <v>0.75</v>
      </c>
    </row>
    <row r="22" spans="1:19" ht="45">
      <c r="A22" s="88">
        <v>9</v>
      </c>
      <c r="B22" s="88" t="s">
        <v>63</v>
      </c>
      <c r="C22" s="6" t="s">
        <v>28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f t="shared" si="0"/>
        <v>0</v>
      </c>
      <c r="S22" s="78">
        <f t="shared" si="0"/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</v>
      </c>
      <c r="E23" s="75">
        <v>0</v>
      </c>
      <c r="F23" s="75">
        <v>0</v>
      </c>
      <c r="G23" s="75">
        <v>0</v>
      </c>
      <c r="H23" s="75">
        <v>0.0805768</v>
      </c>
      <c r="I23" s="75">
        <v>0.0805768</v>
      </c>
      <c r="J23" s="78">
        <v>0</v>
      </c>
      <c r="K23" s="78">
        <v>0</v>
      </c>
      <c r="L23" s="78">
        <v>0.0024</v>
      </c>
      <c r="M23" s="78">
        <v>0.0024</v>
      </c>
      <c r="N23" s="78">
        <v>0.033</v>
      </c>
      <c r="O23" s="78">
        <v>0.033</v>
      </c>
      <c r="P23" s="78">
        <v>0.034</v>
      </c>
      <c r="Q23" s="78">
        <v>0.034</v>
      </c>
      <c r="R23" s="78">
        <f t="shared" si="0"/>
        <v>0.14997680000000002</v>
      </c>
      <c r="S23" s="78">
        <f t="shared" si="0"/>
        <v>0.14997680000000002</v>
      </c>
    </row>
    <row r="24" spans="1:19" ht="33.75">
      <c r="A24" s="88">
        <v>11</v>
      </c>
      <c r="B24" s="88" t="s">
        <v>69</v>
      </c>
      <c r="C24" s="6" t="s">
        <v>30</v>
      </c>
      <c r="D24" s="75">
        <v>0</v>
      </c>
      <c r="E24" s="75">
        <v>0</v>
      </c>
      <c r="F24" s="75">
        <v>0</v>
      </c>
      <c r="G24" s="75">
        <v>0</v>
      </c>
      <c r="H24" s="75">
        <v>0.0227924</v>
      </c>
      <c r="I24" s="75">
        <v>0.0227924</v>
      </c>
      <c r="J24" s="78">
        <v>1.849</v>
      </c>
      <c r="K24" s="78">
        <v>1.849</v>
      </c>
      <c r="L24" s="78">
        <v>0.959</v>
      </c>
      <c r="M24" s="78">
        <v>0.959</v>
      </c>
      <c r="N24" s="78">
        <f>0.725+0.16</f>
        <v>0.885</v>
      </c>
      <c r="O24" s="78">
        <f>0.725+0.16</f>
        <v>0.885</v>
      </c>
      <c r="P24" s="78">
        <f>0.772+0.191</f>
        <v>0.9630000000000001</v>
      </c>
      <c r="Q24" s="78">
        <f>0.772+0.191</f>
        <v>0.9630000000000001</v>
      </c>
      <c r="R24" s="78">
        <f>+P24+N24+L24+J24+H24+F24+D24+0.001</f>
        <v>4.6797924</v>
      </c>
      <c r="S24" s="78">
        <f>+Q24+O24+M24+K24+I24+G24+E24+0.001</f>
        <v>4.6797924</v>
      </c>
    </row>
    <row r="25" spans="1:19" ht="22.5">
      <c r="A25" s="88">
        <v>12</v>
      </c>
      <c r="B25" s="88" t="s">
        <v>70</v>
      </c>
      <c r="C25" s="6" t="s">
        <v>31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f aca="true" t="shared" si="1" ref="R25:S28">+P25+N25+L25+J25+H25+F25+D25</f>
        <v>0</v>
      </c>
      <c r="S25" s="78">
        <f t="shared" si="1"/>
        <v>0</v>
      </c>
    </row>
    <row r="26" spans="1:19" s="4" customFormat="1" ht="12.75">
      <c r="A26" s="88">
        <v>13</v>
      </c>
      <c r="B26" s="88" t="s">
        <v>64</v>
      </c>
      <c r="C26" s="6" t="s">
        <v>32</v>
      </c>
      <c r="D26" s="75">
        <v>0</v>
      </c>
      <c r="E26" s="75">
        <v>0</v>
      </c>
      <c r="F26" s="75">
        <f>0.2262497+0.57694377</f>
        <v>0.80319347</v>
      </c>
      <c r="G26" s="75">
        <f>+F26</f>
        <v>0.80319347</v>
      </c>
      <c r="H26" s="75">
        <f>0.23563117+0.4528456</f>
        <v>0.6884767700000001</v>
      </c>
      <c r="I26" s="75">
        <f>+H26</f>
        <v>0.6884767700000001</v>
      </c>
      <c r="J26" s="76">
        <f>1.1+0.262</f>
        <v>1.362</v>
      </c>
      <c r="K26" s="76">
        <f>+J26</f>
        <v>1.362</v>
      </c>
      <c r="L26" s="76">
        <v>1.1</v>
      </c>
      <c r="M26" s="76">
        <v>1.1</v>
      </c>
      <c r="N26" s="76">
        <v>1.1</v>
      </c>
      <c r="O26" s="76">
        <v>1.1</v>
      </c>
      <c r="P26" s="76">
        <v>1.1</v>
      </c>
      <c r="Q26" s="76">
        <v>1.1</v>
      </c>
      <c r="R26" s="78">
        <f t="shared" si="1"/>
        <v>6.153670240000001</v>
      </c>
      <c r="S26" s="78">
        <f t="shared" si="1"/>
        <v>6.153670240000001</v>
      </c>
    </row>
    <row r="27" spans="1:19" s="4" customFormat="1" ht="12.75">
      <c r="A27" s="88"/>
      <c r="B27" s="88"/>
      <c r="C27" s="6" t="s">
        <v>5</v>
      </c>
      <c r="D27" s="75">
        <f>0.14899785+0.54940073</f>
        <v>0.69839858</v>
      </c>
      <c r="E27" s="75">
        <f>+D27</f>
        <v>0.69839858</v>
      </c>
      <c r="F27" s="75">
        <f>0.00326916+0.02470733</f>
        <v>0.02797649</v>
      </c>
      <c r="G27" s="75">
        <f>+F27</f>
        <v>0.02797649</v>
      </c>
      <c r="H27" s="75">
        <f>+0.020313</f>
        <v>0.020313</v>
      </c>
      <c r="I27" s="75">
        <f>+H27</f>
        <v>0.020313</v>
      </c>
      <c r="J27" s="76">
        <v>0.1</v>
      </c>
      <c r="K27" s="76">
        <v>0.1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8">
        <f t="shared" si="1"/>
        <v>0.84668807</v>
      </c>
      <c r="S27" s="78">
        <f t="shared" si="1"/>
        <v>0.84668807</v>
      </c>
    </row>
    <row r="28" spans="1:19" ht="33.75">
      <c r="A28" s="88">
        <v>14</v>
      </c>
      <c r="B28" s="88" t="s">
        <v>65</v>
      </c>
      <c r="C28" s="6" t="s">
        <v>33</v>
      </c>
      <c r="D28" s="75">
        <v>0</v>
      </c>
      <c r="E28" s="75">
        <v>0</v>
      </c>
      <c r="F28" s="75">
        <v>2.44489879</v>
      </c>
      <c r="G28" s="75">
        <f>+F28</f>
        <v>2.44489879</v>
      </c>
      <c r="H28" s="75">
        <v>1.81330271</v>
      </c>
      <c r="I28" s="75">
        <f>+H28</f>
        <v>1.81330271</v>
      </c>
      <c r="J28" s="78">
        <v>5.288</v>
      </c>
      <c r="K28" s="78">
        <f>+J28</f>
        <v>5.288</v>
      </c>
      <c r="L28" s="78">
        <v>5.287</v>
      </c>
      <c r="M28" s="78">
        <f>+L28</f>
        <v>5.287</v>
      </c>
      <c r="N28" s="78">
        <v>5.287</v>
      </c>
      <c r="O28" s="78">
        <f>+N28</f>
        <v>5.287</v>
      </c>
      <c r="P28" s="78">
        <v>3.593</v>
      </c>
      <c r="Q28" s="78">
        <f>+P28</f>
        <v>3.593</v>
      </c>
      <c r="R28" s="78">
        <f t="shared" si="1"/>
        <v>23.713201499999997</v>
      </c>
      <c r="S28" s="78">
        <f t="shared" si="1"/>
        <v>23.713201499999997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</row>
    <row r="30" spans="1:19" ht="45">
      <c r="A30" s="88" t="s">
        <v>36</v>
      </c>
      <c r="B30" s="88" t="s">
        <v>60</v>
      </c>
      <c r="C30" s="6" t="s">
        <v>35</v>
      </c>
      <c r="D30" s="75">
        <f aca="true" t="shared" si="2" ref="D30:Q30">SUM(D31:D32)</f>
        <v>0</v>
      </c>
      <c r="E30" s="75">
        <f t="shared" si="2"/>
        <v>0</v>
      </c>
      <c r="F30" s="75">
        <f t="shared" si="2"/>
        <v>0</v>
      </c>
      <c r="G30" s="75">
        <f t="shared" si="2"/>
        <v>0</v>
      </c>
      <c r="H30" s="75">
        <f t="shared" si="2"/>
        <v>0</v>
      </c>
      <c r="I30" s="75">
        <f t="shared" si="2"/>
        <v>0</v>
      </c>
      <c r="J30" s="78">
        <f t="shared" si="2"/>
        <v>0.915</v>
      </c>
      <c r="K30" s="78">
        <f t="shared" si="2"/>
        <v>0.915</v>
      </c>
      <c r="L30" s="78">
        <f t="shared" si="2"/>
        <v>0.503</v>
      </c>
      <c r="M30" s="78">
        <f t="shared" si="2"/>
        <v>0.503</v>
      </c>
      <c r="N30" s="78">
        <f t="shared" si="2"/>
        <v>0.608</v>
      </c>
      <c r="O30" s="78">
        <f t="shared" si="2"/>
        <v>0.608</v>
      </c>
      <c r="P30" s="78">
        <f t="shared" si="2"/>
        <v>1.178</v>
      </c>
      <c r="Q30" s="78">
        <f t="shared" si="2"/>
        <v>1.178</v>
      </c>
      <c r="R30" s="78">
        <f>+P30+N30+L30+J30+H30+F30+D30-0.002</f>
        <v>3.2020000000000004</v>
      </c>
      <c r="S30" s="78">
        <f>+Q30+O30+M30+K30+I30+G30+E30-0.002</f>
        <v>3.2020000000000004</v>
      </c>
    </row>
    <row r="31" spans="1:19" ht="45">
      <c r="A31" s="88" t="s">
        <v>9</v>
      </c>
      <c r="B31" s="88"/>
      <c r="C31" s="6" t="s">
        <v>38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8">
        <f>0.46+0.455</f>
        <v>0.915</v>
      </c>
      <c r="K31" s="78">
        <f>0.46+0.455</f>
        <v>0.915</v>
      </c>
      <c r="L31" s="78">
        <v>0.503</v>
      </c>
      <c r="M31" s="78">
        <v>0.503</v>
      </c>
      <c r="N31" s="78">
        <v>0.608</v>
      </c>
      <c r="O31" s="78">
        <v>0.608</v>
      </c>
      <c r="P31" s="78">
        <f>0.644+0.534</f>
        <v>1.178</v>
      </c>
      <c r="Q31" s="78">
        <f>0.644+0.534</f>
        <v>1.178</v>
      </c>
      <c r="R31" s="78">
        <f>+P31+N31+L31+J31+H31+F31+D31-0.002</f>
        <v>3.2020000000000004</v>
      </c>
      <c r="S31" s="78">
        <f>+Q31+O31+M31+K31+I31+G31+E31-0.002</f>
        <v>3.2020000000000004</v>
      </c>
    </row>
    <row r="32" spans="1:19" ht="22.5">
      <c r="A32" s="88" t="s">
        <v>10</v>
      </c>
      <c r="B32" s="88"/>
      <c r="C32" s="6" t="s">
        <v>37</v>
      </c>
      <c r="D32" s="75"/>
      <c r="E32" s="75"/>
      <c r="F32" s="75"/>
      <c r="G32" s="75"/>
      <c r="H32" s="75"/>
      <c r="I32" s="75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s="3" customFormat="1" ht="12.75">
      <c r="A33" s="119"/>
      <c r="B33" s="88"/>
      <c r="C33" s="37" t="s">
        <v>4</v>
      </c>
      <c r="D33" s="75">
        <f aca="true" t="shared" si="3" ref="D33:I33">+D30+D29+D28+D27+D26+D25+D24+D23+D22+D21+D20+D19+D18+D15+D12+D11+D10+D9+D8</f>
        <v>0.69839858</v>
      </c>
      <c r="E33" s="75">
        <f t="shared" si="3"/>
        <v>0.69839858</v>
      </c>
      <c r="F33" s="75">
        <f t="shared" si="3"/>
        <v>3.92406875</v>
      </c>
      <c r="G33" s="75">
        <f t="shared" si="3"/>
        <v>3.92406875</v>
      </c>
      <c r="H33" s="75">
        <f t="shared" si="3"/>
        <v>3.3013616800000007</v>
      </c>
      <c r="I33" s="75">
        <f t="shared" si="3"/>
        <v>3.3013616800000007</v>
      </c>
      <c r="J33" s="79">
        <f>+J30+J29+J28+J27+J26+J25+J24+J23+J22+J21+J20+J19+J18+J15+J12+J11+J10+J9+J8+0.001</f>
        <v>10.325099999999997</v>
      </c>
      <c r="K33" s="79">
        <f>+K30+K29+K28+K27+K26+K25+K24+K23+K22+K21+K20+K19+K18+K15+K12+K11+K10+K9+K8+0.001</f>
        <v>10.325099999999997</v>
      </c>
      <c r="L33" s="79">
        <f aca="true" t="shared" si="4" ref="L33:S33">+L30+L29+L28+L27+L26+L25+L24+L23+L22+L21+L20+L19+L18+L15+L12+L11+L10+L9+L8</f>
        <v>8.9014</v>
      </c>
      <c r="M33" s="79">
        <f t="shared" si="4"/>
        <v>8.9014</v>
      </c>
      <c r="N33" s="79">
        <f t="shared" si="4"/>
        <v>8.963000000000001</v>
      </c>
      <c r="O33" s="79">
        <f t="shared" si="4"/>
        <v>8.963000000000001</v>
      </c>
      <c r="P33" s="79">
        <f t="shared" si="4"/>
        <v>7.918</v>
      </c>
      <c r="Q33" s="79">
        <f t="shared" si="4"/>
        <v>7.918</v>
      </c>
      <c r="R33" s="79">
        <f t="shared" si="4"/>
        <v>44.03132901</v>
      </c>
      <c r="S33" s="79">
        <f t="shared" si="4"/>
        <v>44.03132901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ht="12.75">
      <c r="B35" s="34"/>
    </row>
    <row r="36" spans="2:3" ht="12.75">
      <c r="B36" s="35"/>
      <c r="C36" s="25"/>
    </row>
    <row r="37" ht="12.75">
      <c r="B37" s="36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Roland Schieder</cp:lastModifiedBy>
  <cp:lastPrinted>2003-10-22T08:18:26Z</cp:lastPrinted>
  <dcterms:created xsi:type="dcterms:W3CDTF">2000-05-19T08:01:38Z</dcterms:created>
  <dcterms:modified xsi:type="dcterms:W3CDTF">2003-10-22T08:23:45Z</dcterms:modified>
  <cp:category/>
  <cp:version/>
  <cp:contentType/>
  <cp:contentStatus/>
</cp:coreProperties>
</file>