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35" windowWidth="11970" windowHeight="3015" tabRatio="692" firstSheet="3" activeTab="4"/>
  </bookViews>
  <sheets>
    <sheet name="1) costi totali e UE" sheetId="1" r:id="rId1"/>
    <sheet name="2) spesa pubblica totale e UE" sheetId="2" r:id="rId2"/>
    <sheet name="3) costi totali e Bolzano" sheetId="3" r:id="rId3"/>
    <sheet name="4) costi totali e Stato" sheetId="4" r:id="rId4"/>
    <sheet name="5) Top Up e costi totali" sheetId="5" r:id="rId5"/>
    <sheet name="6) Top Up e quota BZ" sheetId="6" r:id="rId6"/>
    <sheet name="7) nuova Ver.445 privati" sheetId="7" r:id="rId7"/>
  </sheets>
  <definedNames/>
  <calcPr fullCalcOnLoad="1"/>
</workbook>
</file>

<file path=xl/sharedStrings.xml><?xml version="1.0" encoding="utf-8"?>
<sst xmlns="http://schemas.openxmlformats.org/spreadsheetml/2006/main" count="460" uniqueCount="74">
  <si>
    <t>misure</t>
  </si>
  <si>
    <t>totale</t>
  </si>
  <si>
    <t>spesa totale</t>
  </si>
  <si>
    <t>contributo UE</t>
  </si>
  <si>
    <t>Programma</t>
  </si>
  <si>
    <t>Reg. 2078 in corso</t>
  </si>
  <si>
    <t xml:space="preserve"> anno </t>
  </si>
  <si>
    <t>imboschimento delle superfici agricole (NOTA BENE: Reg. 2080 in corso anni 2001 e 2002!)</t>
  </si>
  <si>
    <t>15 A</t>
  </si>
  <si>
    <t>15 B 1</t>
  </si>
  <si>
    <t>15 B 2</t>
  </si>
  <si>
    <t>5 - II</t>
  </si>
  <si>
    <t>5 - II a</t>
  </si>
  <si>
    <t>5 - II b</t>
  </si>
  <si>
    <t>Investimenti nelle aziende agricole (articoli 4-7)</t>
  </si>
  <si>
    <t>Insediamento dei giovani agricoltori (art.8)</t>
  </si>
  <si>
    <t>Prepensionamento (articoli 10 -12)</t>
  </si>
  <si>
    <t>ricomposizione fondiaria (articolo 33, 2°)</t>
  </si>
  <si>
    <t>altre misure forestali - Sostegno agli investimenti a favore della trasformazione e commercializzazione dei prodotti forestali</t>
  </si>
  <si>
    <t>Miglioramento e razionalizzazione delle condizioni per il raccolto, la trasformazione e commercializzazione dei prodotti della selvicoltura (art. 30, 3°)</t>
  </si>
  <si>
    <t>Sviluppo e miglioramento della competitività dei prodotti forestali, nonché misure a sostegno di azioni riguardanti iniziative collettive per la commercializzazione ed iniziative promozionali (art.30, 4°)</t>
  </si>
  <si>
    <t>5 - I</t>
  </si>
  <si>
    <t>5 - I A</t>
  </si>
  <si>
    <t>5 - I B</t>
  </si>
  <si>
    <t>Investimenti nell'agriturismo (art. 33, 10°)</t>
  </si>
  <si>
    <t>miglioramento delle condizioni di trasformazione e commercializzazione dei prodotti agricoli (articoli 25 -28)</t>
  </si>
  <si>
    <t>avviamento di servizi di sostituzione e di assistenza alla gestione delle aziende agricole (art.33, 3°)</t>
  </si>
  <si>
    <t>Formazione (art. 9)</t>
  </si>
  <si>
    <t>diversificazione delle attività del settore agricolo e delle attività affini allo scopo di sviluppare attvità plurime o fonti alternative di reddito (art.33, 7°)</t>
  </si>
  <si>
    <t>commercializzazione di prodotti agricoli di qualità (art. 33,4°)</t>
  </si>
  <si>
    <t>sviluppo e miglioramento delle infrastrutture connesse allo sviluppo dell'agricoltura (art.33, 9°)</t>
  </si>
  <si>
    <t>gestione delle risorse idriche in agricoltura (art.33, 8°)</t>
  </si>
  <si>
    <t>misure agro-ambientali (articoli 22 - 24)</t>
  </si>
  <si>
    <t>zone svantaggiate e zone soggette a vincoli ambientali - indennità compensativa (articoli 15, a) e 16)</t>
  </si>
  <si>
    <t>Misure volte alla tutela dell'ambiente, in relazione all'agricoltura, alla conservazione delle risorse naturali nonché al benessere degli animali (art.33, 11°)</t>
  </si>
  <si>
    <t>Misure volte alla conservazione ed alla gestione sostenibile dei boschi ed al potenziamento della loro funzione ambientale e protettiva (art.30, 2°)</t>
  </si>
  <si>
    <t>15 B</t>
  </si>
  <si>
    <t>premi differenziati per utilizzazioni boschive in condizioni disagiate</t>
  </si>
  <si>
    <t>Misure per la conservazione e la gestione sostenibile dei boschi e per il potenziamento della loro funzione ambientale e protettiva</t>
  </si>
  <si>
    <t>Investimenti nell'agriturismo e in infrastrutture connesse al turismo rurale, inclusa l'informazione nel settore forestale (art. 33, 10°)</t>
  </si>
  <si>
    <t>Investimenti in infrastrutture connesse al turismo rurale, inclusa l'informazione nel settore forestale (art. 33, 10°)</t>
  </si>
  <si>
    <t>spesa pubblica totale</t>
  </si>
  <si>
    <t>contributo BZ</t>
  </si>
  <si>
    <t>contributo Stato</t>
  </si>
  <si>
    <t>top-up Bolzano</t>
  </si>
  <si>
    <t>Risorse del FEOGA sezione Garanzia per le misure di promozione dell'adeguamento e dello sviluppo delle zone rurali (articolo 33 del regolamento (CE) n.1257/99 nelle zone (rurali) dell'obiettivo 2: 6,871 milioni di euro (56,6% del totale per l'articolo 33)</t>
  </si>
  <si>
    <t xml:space="preserve">Tabella di pianificazione finanziaria: PSR della Provincia Autonoma di Bolzano - 2000/2006 - </t>
  </si>
  <si>
    <t>spesa (costi) totali e quota FEOGA per anno e per misura</t>
  </si>
  <si>
    <t>spesa pubblica totale (UE, Stato e Bolzano) e quota FEOGA per anno e per misura</t>
  </si>
  <si>
    <t>spesa (costi) totali e quota Bolzano per anno e per misura</t>
  </si>
  <si>
    <t>spesa (costi) totali e quota Stato per anno e per misura</t>
  </si>
  <si>
    <t>TOP-UP AIUTI DI STATO - spesa (costi) totali e quota Bolzano per anno e per misura</t>
  </si>
  <si>
    <t>TOP-UP AIUTI DI STATO - spesa pubblica totale (Bolzano) e quota Bolzano per anno e per misura</t>
  </si>
  <si>
    <t>ANTICIPO 12,5% SULLA QUOTA UE</t>
  </si>
  <si>
    <t>2000-2006</t>
  </si>
  <si>
    <t>(lett)</t>
  </si>
  <si>
    <t>privati</t>
  </si>
  <si>
    <t>A</t>
  </si>
  <si>
    <t>B</t>
  </si>
  <si>
    <t>D</t>
  </si>
  <si>
    <t>K</t>
  </si>
  <si>
    <t>I</t>
  </si>
  <si>
    <t>H</t>
  </si>
  <si>
    <t>C</t>
  </si>
  <si>
    <t>P</t>
  </si>
  <si>
    <t>F</t>
  </si>
  <si>
    <t>E</t>
  </si>
  <si>
    <t>G</t>
  </si>
  <si>
    <t>L</t>
  </si>
  <si>
    <t>M</t>
  </si>
  <si>
    <t>R</t>
  </si>
  <si>
    <t>Q</t>
  </si>
  <si>
    <t>T</t>
  </si>
  <si>
    <t>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</si>
</sst>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0.000"/>
    <numFmt numFmtId="182" formatCode="0.0000"/>
    <numFmt numFmtId="183" formatCode="0.0000000"/>
    <numFmt numFmtId="184" formatCode="0.000000"/>
    <numFmt numFmtId="185" formatCode="0.00000"/>
    <numFmt numFmtId="186" formatCode="#,##0\ &quot;FB&quot;;\-#,##0\ &quot;FB&quot;"/>
    <numFmt numFmtId="187" formatCode="#,##0\ &quot;FB&quot;;[Red]\-#,##0\ &quot;FB&quot;"/>
    <numFmt numFmtId="188" formatCode="#,##0.00\ &quot;FB&quot;;\-#,##0.00\ &quot;FB&quot;"/>
    <numFmt numFmtId="189" formatCode="#,##0.00\ &quot;FB&quot;;[Red]\-#,##0.00\ &quot;FB&quot;"/>
    <numFmt numFmtId="190" formatCode="_-* #,##0\ &quot;FB&quot;_-;\-* #,##0\ &quot;FB&quot;_-;_-* &quot;-&quot;\ &quot;FB&quot;_-;_-@_-"/>
    <numFmt numFmtId="191" formatCode="_-* #,##0\ _F_B_-;\-* #,##0\ _F_B_-;_-* &quot;-&quot;\ _F_B_-;_-@_-"/>
    <numFmt numFmtId="192" formatCode="_-* #,##0.00\ &quot;FB&quot;_-;\-* #,##0.00\ &quot;FB&quot;_-;_-* &quot;-&quot;??\ &quot;FB&quot;_-;_-@_-"/>
    <numFmt numFmtId="193" formatCode="_-* #,##0.00\ _F_B_-;\-* #,##0.00\ _F_B_-;_-* &quot;-&quot;??\ _F_B_-;_-@_-"/>
    <numFmt numFmtId="194" formatCode="#,##0.000"/>
  </numFmts>
  <fonts count="18">
    <font>
      <sz val="9"/>
      <name val="Arial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top" wrapText="1"/>
    </xf>
    <xf numFmtId="2" fontId="4" fillId="0" borderId="0" xfId="0" applyNumberFormat="1" applyFont="1" applyAlignment="1">
      <alignment/>
    </xf>
    <xf numFmtId="0" fontId="5" fillId="0" borderId="1" xfId="0" applyFont="1" applyFill="1" applyBorder="1" applyAlignment="1">
      <alignment horizontal="justify" vertical="center" wrapText="1"/>
    </xf>
    <xf numFmtId="181" fontId="1" fillId="0" borderId="1" xfId="0" applyNumberFormat="1" applyFont="1" applyFill="1" applyBorder="1" applyAlignment="1">
      <alignment/>
    </xf>
    <xf numFmtId="181" fontId="1" fillId="0" borderId="0" xfId="0" applyNumberFormat="1" applyFont="1" applyFill="1" applyAlignment="1">
      <alignment/>
    </xf>
    <xf numFmtId="0" fontId="6" fillId="0" borderId="1" xfId="0" applyFont="1" applyFill="1" applyBorder="1" applyAlignment="1">
      <alignment horizontal="justify" vertical="center" wrapText="1"/>
    </xf>
    <xf numFmtId="181" fontId="3" fillId="0" borderId="1" xfId="0" applyNumberFormat="1" applyFont="1" applyFill="1" applyBorder="1" applyAlignment="1">
      <alignment/>
    </xf>
    <xf numFmtId="181" fontId="1" fillId="0" borderId="0" xfId="0" applyNumberFormat="1" applyFont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2" fontId="4" fillId="0" borderId="0" xfId="0" applyNumberFormat="1" applyFont="1" applyFill="1" applyAlignment="1">
      <alignment/>
    </xf>
    <xf numFmtId="0" fontId="7" fillId="2" borderId="2" xfId="0" applyFont="1" applyFill="1" applyBorder="1" applyAlignment="1">
      <alignment horizontal="center" wrapText="1"/>
    </xf>
    <xf numFmtId="181" fontId="7" fillId="2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2" borderId="3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81" fontId="7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Fill="1" applyBorder="1" applyAlignment="1">
      <alignment horizontal="justify" vertical="center" wrapText="1"/>
    </xf>
    <xf numFmtId="181" fontId="1" fillId="0" borderId="1" xfId="0" applyNumberFormat="1" applyFont="1" applyBorder="1" applyAlignment="1">
      <alignment/>
    </xf>
    <xf numFmtId="0" fontId="8" fillId="0" borderId="1" xfId="0" applyFont="1" applyFill="1" applyBorder="1" applyAlignment="1">
      <alignment horizontal="justify" vertical="center" wrapText="1"/>
    </xf>
    <xf numFmtId="181" fontId="3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81" fontId="1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181" fontId="1" fillId="0" borderId="4" xfId="0" applyNumberFormat="1" applyFont="1" applyFill="1" applyBorder="1" applyAlignment="1">
      <alignment/>
    </xf>
    <xf numFmtId="181" fontId="1" fillId="0" borderId="5" xfId="0" applyNumberFormat="1" applyFont="1" applyFill="1" applyBorder="1" applyAlignment="1">
      <alignment/>
    </xf>
    <xf numFmtId="181" fontId="1" fillId="0" borderId="6" xfId="0" applyNumberFormat="1" applyFont="1" applyFill="1" applyBorder="1" applyAlignment="1">
      <alignment/>
    </xf>
    <xf numFmtId="181" fontId="1" fillId="0" borderId="7" xfId="0" applyNumberFormat="1" applyFont="1" applyFill="1" applyBorder="1" applyAlignment="1">
      <alignment/>
    </xf>
    <xf numFmtId="181" fontId="7" fillId="2" borderId="8" xfId="0" applyNumberFormat="1" applyFont="1" applyFill="1" applyBorder="1" applyAlignment="1">
      <alignment/>
    </xf>
    <xf numFmtId="181" fontId="7" fillId="2" borderId="9" xfId="0" applyNumberFormat="1" applyFont="1" applyFill="1" applyBorder="1" applyAlignment="1">
      <alignment/>
    </xf>
    <xf numFmtId="181" fontId="7" fillId="2" borderId="10" xfId="0" applyNumberFormat="1" applyFont="1" applyFill="1" applyBorder="1" applyAlignment="1">
      <alignment/>
    </xf>
    <xf numFmtId="181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0" borderId="6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justify"/>
    </xf>
    <xf numFmtId="0" fontId="1" fillId="0" borderId="0" xfId="0" applyFont="1" applyFill="1" applyAlignment="1">
      <alignment horizontal="justify"/>
    </xf>
    <xf numFmtId="0" fontId="0" fillId="0" borderId="0" xfId="0" applyAlignment="1">
      <alignment horizontal="justify"/>
    </xf>
    <xf numFmtId="0" fontId="7" fillId="2" borderId="6" xfId="0" applyFont="1" applyFill="1" applyBorder="1" applyAlignment="1">
      <alignment horizontal="justify" vertical="center" wrapText="1"/>
    </xf>
    <xf numFmtId="0" fontId="14" fillId="0" borderId="0" xfId="0" applyFont="1" applyAlignment="1">
      <alignment/>
    </xf>
    <xf numFmtId="181" fontId="12" fillId="0" borderId="0" xfId="0" applyNumberFormat="1" applyFont="1" applyFill="1" applyAlignment="1">
      <alignment/>
    </xf>
    <xf numFmtId="181" fontId="0" fillId="0" borderId="0" xfId="0" applyNumberFormat="1" applyFont="1" applyAlignment="1">
      <alignment/>
    </xf>
    <xf numFmtId="0" fontId="5" fillId="0" borderId="6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wrapText="1"/>
    </xf>
    <xf numFmtId="0" fontId="15" fillId="2" borderId="12" xfId="0" applyFont="1" applyFill="1" applyBorder="1" applyAlignment="1">
      <alignment horizontal="center" wrapText="1"/>
    </xf>
    <xf numFmtId="181" fontId="15" fillId="2" borderId="4" xfId="0" applyNumberFormat="1" applyFont="1" applyFill="1" applyBorder="1" applyAlignment="1">
      <alignment/>
    </xf>
    <xf numFmtId="181" fontId="15" fillId="2" borderId="5" xfId="0" applyNumberFormat="1" applyFont="1" applyFill="1" applyBorder="1" applyAlignment="1">
      <alignment/>
    </xf>
    <xf numFmtId="181" fontId="15" fillId="2" borderId="8" xfId="0" applyNumberFormat="1" applyFont="1" applyFill="1" applyBorder="1" applyAlignment="1">
      <alignment/>
    </xf>
    <xf numFmtId="181" fontId="15" fillId="2" borderId="9" xfId="0" applyNumberFormat="1" applyFont="1" applyFill="1" applyBorder="1" applyAlignment="1">
      <alignment/>
    </xf>
    <xf numFmtId="181" fontId="3" fillId="0" borderId="7" xfId="0" applyNumberFormat="1" applyFont="1" applyFill="1" applyBorder="1" applyAlignment="1">
      <alignment/>
    </xf>
    <xf numFmtId="0" fontId="5" fillId="0" borderId="6" xfId="0" applyFont="1" applyBorder="1" applyAlignment="1">
      <alignment horizontal="center" vertical="center" wrapText="1"/>
    </xf>
    <xf numFmtId="181" fontId="7" fillId="2" borderId="4" xfId="0" applyNumberFormat="1" applyFont="1" applyFill="1" applyBorder="1" applyAlignment="1">
      <alignment/>
    </xf>
    <xf numFmtId="181" fontId="7" fillId="2" borderId="5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181" fontId="16" fillId="0" borderId="0" xfId="0" applyNumberFormat="1" applyFont="1" applyFill="1" applyBorder="1" applyAlignment="1">
      <alignment/>
    </xf>
    <xf numFmtId="181" fontId="16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5" fillId="2" borderId="14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 wrapText="1"/>
    </xf>
    <xf numFmtId="181" fontId="15" fillId="2" borderId="6" xfId="0" applyNumberFormat="1" applyFont="1" applyFill="1" applyBorder="1" applyAlignment="1">
      <alignment/>
    </xf>
    <xf numFmtId="181" fontId="15" fillId="2" borderId="7" xfId="0" applyNumberFormat="1" applyFont="1" applyFill="1" applyBorder="1" applyAlignment="1">
      <alignment/>
    </xf>
    <xf numFmtId="181" fontId="15" fillId="2" borderId="15" xfId="0" applyNumberFormat="1" applyFont="1" applyFill="1" applyBorder="1" applyAlignment="1">
      <alignment/>
    </xf>
    <xf numFmtId="181" fontId="15" fillId="2" borderId="1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181" fontId="17" fillId="0" borderId="0" xfId="0" applyNumberFormat="1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" fillId="3" borderId="14" xfId="0" applyFont="1" applyFill="1" applyBorder="1" applyAlignment="1">
      <alignment/>
    </xf>
    <xf numFmtId="181" fontId="1" fillId="3" borderId="21" xfId="0" applyNumberFormat="1" applyFont="1" applyFill="1" applyBorder="1" applyAlignment="1">
      <alignment/>
    </xf>
    <xf numFmtId="0" fontId="1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3" fillId="3" borderId="19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/>
    </xf>
    <xf numFmtId="0" fontId="1" fillId="3" borderId="3" xfId="0" applyFont="1" applyFill="1" applyBorder="1" applyAlignment="1">
      <alignment/>
    </xf>
    <xf numFmtId="0" fontId="1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0" fontId="3" fillId="3" borderId="19" xfId="0" applyFont="1" applyFill="1" applyBorder="1" applyAlignment="1">
      <alignment horizontal="justify"/>
    </xf>
    <xf numFmtId="0" fontId="6" fillId="3" borderId="14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 wrapText="1"/>
    </xf>
    <xf numFmtId="181" fontId="6" fillId="3" borderId="21" xfId="0" applyNumberFormat="1" applyFont="1" applyFill="1" applyBorder="1" applyAlignment="1">
      <alignment horizontal="justify"/>
    </xf>
    <xf numFmtId="0" fontId="1" fillId="3" borderId="1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81" fontId="15" fillId="0" borderId="0" xfId="0" applyNumberFormat="1" applyFont="1" applyAlignment="1">
      <alignment/>
    </xf>
    <xf numFmtId="0" fontId="5" fillId="4" borderId="1" xfId="0" applyFont="1" applyFill="1" applyBorder="1" applyAlignment="1">
      <alignment horizontal="justify" vertical="center" wrapText="1"/>
    </xf>
    <xf numFmtId="181" fontId="1" fillId="4" borderId="1" xfId="0" applyNumberFormat="1" applyFont="1" applyFill="1" applyBorder="1" applyAlignment="1">
      <alignment/>
    </xf>
    <xf numFmtId="0" fontId="3" fillId="3" borderId="21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5" fillId="2" borderId="25" xfId="0" applyFont="1" applyFill="1" applyBorder="1" applyAlignment="1">
      <alignment horizontal="center"/>
    </xf>
    <xf numFmtId="0" fontId="15" fillId="2" borderId="24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15" fillId="2" borderId="26" xfId="0" applyFont="1" applyFill="1" applyBorder="1" applyAlignment="1">
      <alignment horizontal="center"/>
    </xf>
    <xf numFmtId="0" fontId="15" fillId="2" borderId="27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5" fillId="2" borderId="21" xfId="0" applyFont="1" applyFill="1" applyBorder="1" applyAlignment="1">
      <alignment horizontal="center"/>
    </xf>
    <xf numFmtId="0" fontId="15" fillId="2" borderId="28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3" fillId="3" borderId="20" xfId="0" applyNumberFormat="1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center"/>
    </xf>
    <xf numFmtId="0" fontId="3" fillId="3" borderId="17" xfId="0" applyNumberFormat="1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181" fontId="3" fillId="4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U40"/>
  <sheetViews>
    <sheetView showGridLines="0" showZeros="0" workbookViewId="0" topLeftCell="A5">
      <pane ySplit="3" topLeftCell="BM8" activePane="bottomLeft" state="frozen"/>
      <selection pane="topLeft" activeCell="D15" sqref="D15"/>
      <selection pane="bottomLeft" activeCell="D15" sqref="D15"/>
    </sheetView>
  </sheetViews>
  <sheetFormatPr defaultColWidth="9.140625" defaultRowHeight="12"/>
  <cols>
    <col min="1" max="1" width="6.8515625" style="1" customWidth="1"/>
    <col min="2" max="2" width="30.00390625" style="1" customWidth="1"/>
    <col min="3" max="3" width="10.28125" style="78" customWidth="1"/>
    <col min="4" max="4" width="11.421875" style="78" customWidth="1"/>
    <col min="5" max="5" width="10.00390625" style="79" customWidth="1"/>
    <col min="6" max="6" width="12.140625" style="80" customWidth="1"/>
    <col min="7" max="7" width="10.00390625" style="79" customWidth="1"/>
    <col min="8" max="8" width="12.00390625" style="79" bestFit="1" customWidth="1"/>
    <col min="9" max="18" width="10.00390625" style="5" customWidth="1"/>
    <col min="19" max="16384" width="9.140625" style="1" customWidth="1"/>
  </cols>
  <sheetData>
    <row r="1" ht="15">
      <c r="A1" s="4" t="s">
        <v>46</v>
      </c>
    </row>
    <row r="2" ht="15">
      <c r="A2" s="4"/>
    </row>
    <row r="3" ht="15">
      <c r="A3" s="35" t="s">
        <v>47</v>
      </c>
    </row>
    <row r="4" ht="15.75" thickBot="1"/>
    <row r="5" spans="1:18" s="2" customFormat="1" ht="14.25">
      <c r="A5" s="97"/>
      <c r="B5" s="98"/>
      <c r="C5" s="143" t="s">
        <v>6</v>
      </c>
      <c r="D5" s="144"/>
      <c r="E5" s="143" t="s">
        <v>6</v>
      </c>
      <c r="F5" s="144"/>
      <c r="G5" s="143" t="s">
        <v>6</v>
      </c>
      <c r="H5" s="144"/>
      <c r="I5" s="141" t="s">
        <v>6</v>
      </c>
      <c r="J5" s="141"/>
      <c r="K5" s="140" t="s">
        <v>6</v>
      </c>
      <c r="L5" s="141"/>
      <c r="M5" s="140" t="s">
        <v>6</v>
      </c>
      <c r="N5" s="141"/>
      <c r="O5" s="140" t="s">
        <v>6</v>
      </c>
      <c r="P5" s="142"/>
      <c r="Q5" s="141" t="s">
        <v>1</v>
      </c>
      <c r="R5" s="142"/>
    </row>
    <row r="6" spans="1:18" s="2" customFormat="1" ht="14.25">
      <c r="A6" s="99"/>
      <c r="B6" s="100" t="s">
        <v>0</v>
      </c>
      <c r="C6" s="138">
        <v>2000</v>
      </c>
      <c r="D6" s="139"/>
      <c r="E6" s="138">
        <v>2001</v>
      </c>
      <c r="F6" s="139"/>
      <c r="G6" s="138">
        <v>2002</v>
      </c>
      <c r="H6" s="139"/>
      <c r="I6" s="135">
        <v>2003</v>
      </c>
      <c r="J6" s="137"/>
      <c r="K6" s="135">
        <v>2004</v>
      </c>
      <c r="L6" s="135"/>
      <c r="M6" s="136">
        <v>2005</v>
      </c>
      <c r="N6" s="137"/>
      <c r="O6" s="136">
        <v>2006</v>
      </c>
      <c r="P6" s="137"/>
      <c r="Q6" s="135"/>
      <c r="R6" s="137"/>
    </row>
    <row r="7" spans="1:18" ht="28.5">
      <c r="A7" s="101"/>
      <c r="B7" s="102"/>
      <c r="C7" s="68" t="s">
        <v>2</v>
      </c>
      <c r="D7" s="69" t="s">
        <v>3</v>
      </c>
      <c r="E7" s="68" t="s">
        <v>2</v>
      </c>
      <c r="F7" s="69" t="s">
        <v>3</v>
      </c>
      <c r="G7" s="68" t="s">
        <v>2</v>
      </c>
      <c r="H7" s="69" t="s">
        <v>3</v>
      </c>
      <c r="I7" s="108" t="s">
        <v>2</v>
      </c>
      <c r="J7" s="109" t="s">
        <v>3</v>
      </c>
      <c r="K7" s="109" t="s">
        <v>2</v>
      </c>
      <c r="L7" s="109" t="s">
        <v>3</v>
      </c>
      <c r="M7" s="109" t="s">
        <v>2</v>
      </c>
      <c r="N7" s="109" t="s">
        <v>3</v>
      </c>
      <c r="O7" s="109" t="s">
        <v>2</v>
      </c>
      <c r="P7" s="109" t="s">
        <v>3</v>
      </c>
      <c r="Q7" s="109" t="s">
        <v>2</v>
      </c>
      <c r="R7" s="109" t="s">
        <v>3</v>
      </c>
    </row>
    <row r="8" spans="1:19" s="5" customFormat="1" ht="21">
      <c r="A8" s="103">
        <v>1</v>
      </c>
      <c r="B8" s="66" t="s">
        <v>14</v>
      </c>
      <c r="C8" s="70">
        <v>0</v>
      </c>
      <c r="D8" s="71">
        <v>0</v>
      </c>
      <c r="E8" s="70">
        <f>4.366-0.057</f>
        <v>4.308999999999999</v>
      </c>
      <c r="F8" s="71">
        <f>0.687-0.009</f>
        <v>0.678</v>
      </c>
      <c r="G8" s="70">
        <v>5.922507</v>
      </c>
      <c r="H8" s="71">
        <v>0.92331716</v>
      </c>
      <c r="I8" s="47">
        <f>+J8/0.15+0.446</f>
        <v>6.906</v>
      </c>
      <c r="J8" s="9">
        <v>0.969</v>
      </c>
      <c r="K8" s="9">
        <f>9.905-1</f>
        <v>8.905</v>
      </c>
      <c r="L8" s="9">
        <f>+K8*0.15</f>
        <v>1.3357499999999998</v>
      </c>
      <c r="M8" s="9">
        <f>9.859-1</f>
        <v>8.859</v>
      </c>
      <c r="N8" s="9">
        <f>+M8*0.15</f>
        <v>1.3288499999999999</v>
      </c>
      <c r="O8" s="9">
        <f>10.098-1</f>
        <v>9.098</v>
      </c>
      <c r="P8" s="9">
        <f>+O8*0.15</f>
        <v>1.3647</v>
      </c>
      <c r="Q8" s="9">
        <f>+O8+M8+K8+I8+G8+E8+C8</f>
        <v>43.999507</v>
      </c>
      <c r="R8" s="9">
        <f>+P8+N8+L8+J8+H8+F8+D8</f>
        <v>6.59961716</v>
      </c>
      <c r="S8" s="10"/>
    </row>
    <row r="9" spans="1:18" ht="21">
      <c r="A9" s="103">
        <v>2</v>
      </c>
      <c r="B9" s="66" t="s">
        <v>15</v>
      </c>
      <c r="C9" s="70">
        <v>0</v>
      </c>
      <c r="D9" s="71">
        <v>0</v>
      </c>
      <c r="E9" s="70">
        <v>0.575</v>
      </c>
      <c r="F9" s="71">
        <v>0.287</v>
      </c>
      <c r="G9" s="70">
        <f>+H9/0.5</f>
        <v>1.498</v>
      </c>
      <c r="H9" s="71">
        <v>0.749</v>
      </c>
      <c r="I9" s="47">
        <f>+J9/0.5</f>
        <v>1.12</v>
      </c>
      <c r="J9" s="9">
        <v>0.56</v>
      </c>
      <c r="K9" s="9">
        <v>0.883</v>
      </c>
      <c r="L9" s="9">
        <v>0.443</v>
      </c>
      <c r="M9" s="9">
        <v>0.886</v>
      </c>
      <c r="N9" s="9">
        <v>0.443</v>
      </c>
      <c r="O9" s="9">
        <v>0.891</v>
      </c>
      <c r="P9" s="9">
        <v>0.444</v>
      </c>
      <c r="Q9" s="9">
        <f>+O9+M9+K9+I9+G9+E9+C9-0.001</f>
        <v>5.852</v>
      </c>
      <c r="R9" s="9">
        <f>+P9+N9+L9+J9+H9+F9+D9</f>
        <v>2.926</v>
      </c>
    </row>
    <row r="10" spans="1:18" ht="14.25">
      <c r="A10" s="103">
        <v>3</v>
      </c>
      <c r="B10" s="66" t="s">
        <v>16</v>
      </c>
      <c r="C10" s="70">
        <v>0</v>
      </c>
      <c r="D10" s="71">
        <v>0</v>
      </c>
      <c r="E10" s="70">
        <v>0</v>
      </c>
      <c r="F10" s="71">
        <v>0</v>
      </c>
      <c r="G10" s="70">
        <v>0</v>
      </c>
      <c r="H10" s="71">
        <v>0</v>
      </c>
      <c r="I10" s="47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f>+O10+M10+K10+I10+G10+E10+C10</f>
        <v>0</v>
      </c>
      <c r="R10" s="9">
        <f>+P10+N10+L10+J10+H10+F10+D10</f>
        <v>0</v>
      </c>
    </row>
    <row r="11" spans="1:18" ht="21">
      <c r="A11" s="103">
        <v>4</v>
      </c>
      <c r="B11" s="66" t="s">
        <v>17</v>
      </c>
      <c r="C11" s="70">
        <v>0</v>
      </c>
      <c r="D11" s="71">
        <v>0</v>
      </c>
      <c r="E11" s="70">
        <v>0</v>
      </c>
      <c r="F11" s="71">
        <v>0</v>
      </c>
      <c r="G11" s="70">
        <v>0</v>
      </c>
      <c r="H11" s="71">
        <v>0</v>
      </c>
      <c r="I11" s="47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f>+O11+M11+K11+I11+G11+E11+C11</f>
        <v>0</v>
      </c>
      <c r="R11" s="9">
        <f>+P11+N11+L11+J11+H11+F11+D11</f>
        <v>0</v>
      </c>
    </row>
    <row r="12" spans="1:19" s="5" customFormat="1" ht="42">
      <c r="A12" s="103" t="s">
        <v>21</v>
      </c>
      <c r="B12" s="66" t="s">
        <v>39</v>
      </c>
      <c r="C12" s="70">
        <v>0</v>
      </c>
      <c r="D12" s="71">
        <v>0</v>
      </c>
      <c r="E12" s="70">
        <f>SUM(E13:E14)</f>
        <v>1.778</v>
      </c>
      <c r="F12" s="71">
        <f aca="true" t="shared" si="0" ref="F12:P12">SUM(F13:F14)</f>
        <v>0.258</v>
      </c>
      <c r="G12" s="70">
        <f t="shared" si="0"/>
        <v>1.16045551</v>
      </c>
      <c r="H12" s="71">
        <f t="shared" si="0"/>
        <v>0.183</v>
      </c>
      <c r="I12" s="47">
        <f t="shared" si="0"/>
        <v>2.8600000000000003</v>
      </c>
      <c r="J12" s="9">
        <f t="shared" si="0"/>
        <v>0.523</v>
      </c>
      <c r="K12" s="9">
        <f t="shared" si="0"/>
        <v>3.153</v>
      </c>
      <c r="L12" s="9">
        <f t="shared" si="0"/>
        <v>0.5630000000000001</v>
      </c>
      <c r="M12" s="9">
        <f t="shared" si="0"/>
        <v>2.947</v>
      </c>
      <c r="N12" s="9">
        <f t="shared" si="0"/>
        <v>0.53205</v>
      </c>
      <c r="O12" s="9">
        <f t="shared" si="0"/>
        <v>4.462</v>
      </c>
      <c r="P12" s="9">
        <f t="shared" si="0"/>
        <v>0.9350499999999999</v>
      </c>
      <c r="Q12" s="9">
        <f aca="true" t="shared" si="1" ref="Q12:R17">SUM(O12+M12+K12+I12+G12+E12)</f>
        <v>16.36045551</v>
      </c>
      <c r="R12" s="9">
        <f t="shared" si="1"/>
        <v>2.9941</v>
      </c>
      <c r="S12" s="10"/>
    </row>
    <row r="13" spans="1:18" s="5" customFormat="1" ht="21">
      <c r="A13" s="103" t="s">
        <v>22</v>
      </c>
      <c r="B13" s="66" t="s">
        <v>24</v>
      </c>
      <c r="C13" s="70"/>
      <c r="D13" s="71"/>
      <c r="E13" s="70">
        <v>1.778</v>
      </c>
      <c r="F13" s="71">
        <v>0.258</v>
      </c>
      <c r="G13" s="70">
        <v>1.11545551</v>
      </c>
      <c r="H13" s="71">
        <v>0.172</v>
      </c>
      <c r="I13" s="47">
        <f>2.253-0.293</f>
        <v>1.9600000000000002</v>
      </c>
      <c r="J13" s="9">
        <v>0.298</v>
      </c>
      <c r="K13" s="9">
        <v>2.253</v>
      </c>
      <c r="L13" s="9">
        <v>0.338</v>
      </c>
      <c r="M13" s="9">
        <v>2.047</v>
      </c>
      <c r="N13" s="9">
        <f>+M13*0.15</f>
        <v>0.30705</v>
      </c>
      <c r="O13" s="9">
        <v>1.807</v>
      </c>
      <c r="P13" s="9">
        <f>+O13*0.15</f>
        <v>0.27104999999999996</v>
      </c>
      <c r="Q13" s="9">
        <f t="shared" si="1"/>
        <v>10.960455510000001</v>
      </c>
      <c r="R13" s="9">
        <f t="shared" si="1"/>
        <v>1.6441</v>
      </c>
    </row>
    <row r="14" spans="1:19" s="5" customFormat="1" ht="42">
      <c r="A14" s="103" t="s">
        <v>23</v>
      </c>
      <c r="B14" s="66" t="s">
        <v>40</v>
      </c>
      <c r="C14" s="70"/>
      <c r="D14" s="71"/>
      <c r="E14" s="70">
        <v>0</v>
      </c>
      <c r="F14" s="71">
        <v>0</v>
      </c>
      <c r="G14" s="70">
        <v>0.045</v>
      </c>
      <c r="H14" s="71">
        <v>0.011</v>
      </c>
      <c r="I14" s="47">
        <f>0.9</f>
        <v>0.9</v>
      </c>
      <c r="J14" s="9">
        <v>0.225</v>
      </c>
      <c r="K14" s="9">
        <f>0.9</f>
        <v>0.9</v>
      </c>
      <c r="L14" s="9">
        <v>0.225</v>
      </c>
      <c r="M14" s="9">
        <f>0.9</f>
        <v>0.9</v>
      </c>
      <c r="N14" s="9">
        <v>0.225</v>
      </c>
      <c r="O14" s="9">
        <f>0.9+0.26+1.495</f>
        <v>2.6550000000000002</v>
      </c>
      <c r="P14" s="9">
        <v>0.664</v>
      </c>
      <c r="Q14" s="9">
        <f t="shared" si="1"/>
        <v>5.4</v>
      </c>
      <c r="R14" s="9">
        <f t="shared" si="1"/>
        <v>1.35</v>
      </c>
      <c r="S14" s="10"/>
    </row>
    <row r="15" spans="1:19" ht="52.5">
      <c r="A15" s="103" t="s">
        <v>11</v>
      </c>
      <c r="B15" s="66" t="s">
        <v>18</v>
      </c>
      <c r="C15" s="70">
        <v>0</v>
      </c>
      <c r="D15" s="71">
        <v>0</v>
      </c>
      <c r="E15" s="70">
        <f aca="true" t="shared" si="2" ref="E15:O15">SUM(E16:E17)</f>
        <v>0.125</v>
      </c>
      <c r="F15" s="71">
        <f t="shared" si="2"/>
        <v>0.02325</v>
      </c>
      <c r="G15" s="70">
        <f t="shared" si="2"/>
        <v>1.075</v>
      </c>
      <c r="H15" s="71">
        <f t="shared" si="2"/>
        <v>0.16899999999999998</v>
      </c>
      <c r="I15" s="47">
        <f t="shared" si="2"/>
        <v>0.9450000000000001</v>
      </c>
      <c r="J15" s="9">
        <f t="shared" si="2"/>
        <v>0.1645</v>
      </c>
      <c r="K15" s="9">
        <f t="shared" si="2"/>
        <v>0.9</v>
      </c>
      <c r="L15" s="9">
        <f t="shared" si="2"/>
        <v>0.15333333333333332</v>
      </c>
      <c r="M15" s="9">
        <f t="shared" si="2"/>
        <v>0.9</v>
      </c>
      <c r="N15" s="9">
        <f t="shared" si="2"/>
        <v>0.15333333333333332</v>
      </c>
      <c r="O15" s="9">
        <f t="shared" si="2"/>
        <v>1.455</v>
      </c>
      <c r="P15" s="9">
        <f>SUM(P16:P17)-0.001</f>
        <v>0.254</v>
      </c>
      <c r="Q15" s="9">
        <f t="shared" si="1"/>
        <v>5.4</v>
      </c>
      <c r="R15" s="9">
        <f>SUM(P15+N15+L15+J15+H15+F15)+0.003</f>
        <v>0.9204166666666665</v>
      </c>
      <c r="S15" s="13"/>
    </row>
    <row r="16" spans="1:18" ht="52.5">
      <c r="A16" s="103" t="s">
        <v>12</v>
      </c>
      <c r="B16" s="66" t="s">
        <v>19</v>
      </c>
      <c r="C16" s="70"/>
      <c r="D16" s="71"/>
      <c r="E16" s="70">
        <v>0.08</v>
      </c>
      <c r="F16" s="71">
        <f>+E16*0.15</f>
        <v>0.012</v>
      </c>
      <c r="G16" s="70">
        <v>1.005</v>
      </c>
      <c r="H16" s="71">
        <v>0.151</v>
      </c>
      <c r="I16" s="47">
        <f>0.9*4.3/5.4</f>
        <v>0.7166666666666667</v>
      </c>
      <c r="J16" s="9">
        <f>+I16*0.15</f>
        <v>0.1075</v>
      </c>
      <c r="K16" s="9">
        <f>0.9*4.3/5.4</f>
        <v>0.7166666666666667</v>
      </c>
      <c r="L16" s="9">
        <f>+K16*0.15</f>
        <v>0.1075</v>
      </c>
      <c r="M16" s="9">
        <f>0.9*4.3/5.4</f>
        <v>0.7166666666666667</v>
      </c>
      <c r="N16" s="9">
        <f>+M16*0.15</f>
        <v>0.1075</v>
      </c>
      <c r="O16" s="9">
        <f>0.9*4.3/5.4+0.348</f>
        <v>1.0646666666666667</v>
      </c>
      <c r="P16" s="9">
        <v>0.158</v>
      </c>
      <c r="Q16" s="9">
        <f t="shared" si="1"/>
        <v>4.299666666666667</v>
      </c>
      <c r="R16" s="9">
        <f>SUM(P16+N16+L16+J16+H16+F16)+0.001</f>
        <v>0.6445</v>
      </c>
    </row>
    <row r="17" spans="1:18" ht="63">
      <c r="A17" s="103" t="s">
        <v>13</v>
      </c>
      <c r="B17" s="66" t="s">
        <v>20</v>
      </c>
      <c r="C17" s="70"/>
      <c r="D17" s="71"/>
      <c r="E17" s="70">
        <v>0.045</v>
      </c>
      <c r="F17" s="71">
        <f>+E17*0.25</f>
        <v>0.01125</v>
      </c>
      <c r="G17" s="70">
        <v>0.07</v>
      </c>
      <c r="H17" s="71">
        <v>0.018</v>
      </c>
      <c r="I17" s="47">
        <f>0.9*1.1/5.4+0.045</f>
        <v>0.22833333333333333</v>
      </c>
      <c r="J17" s="9">
        <v>0.057</v>
      </c>
      <c r="K17" s="9">
        <f>0.9*1.1/5.4</f>
        <v>0.18333333333333335</v>
      </c>
      <c r="L17" s="9">
        <f>+K17*0.25</f>
        <v>0.04583333333333334</v>
      </c>
      <c r="M17" s="9">
        <f>0.9*1.1/5.4</f>
        <v>0.18333333333333335</v>
      </c>
      <c r="N17" s="9">
        <f>+M17*0.25</f>
        <v>0.04583333333333334</v>
      </c>
      <c r="O17" s="9">
        <f>0.9*1.1/5.4+0.207</f>
        <v>0.3903333333333333</v>
      </c>
      <c r="P17" s="9">
        <v>0.097</v>
      </c>
      <c r="Q17" s="9">
        <f t="shared" si="1"/>
        <v>1.1003333333333334</v>
      </c>
      <c r="R17" s="9">
        <f t="shared" si="1"/>
        <v>0.27491666666666664</v>
      </c>
    </row>
    <row r="18" spans="1:18" ht="31.5">
      <c r="A18" s="103"/>
      <c r="B18" s="66" t="s">
        <v>7</v>
      </c>
      <c r="C18" s="70">
        <v>0</v>
      </c>
      <c r="D18" s="71">
        <f>+C18/2</f>
        <v>0</v>
      </c>
      <c r="E18" s="70">
        <f>0.642-0.642</f>
        <v>0</v>
      </c>
      <c r="F18" s="71">
        <f>+E18/2</f>
        <v>0</v>
      </c>
      <c r="G18" s="70">
        <v>0</v>
      </c>
      <c r="H18" s="71">
        <f>+G18*0.5</f>
        <v>0</v>
      </c>
      <c r="I18" s="47">
        <v>0.4</v>
      </c>
      <c r="J18" s="9">
        <v>0.2</v>
      </c>
      <c r="K18" s="9">
        <v>0</v>
      </c>
      <c r="L18" s="9">
        <v>0</v>
      </c>
      <c r="M18" s="9">
        <v>0</v>
      </c>
      <c r="N18" s="9">
        <v>0</v>
      </c>
      <c r="O18" s="9">
        <v>0.6</v>
      </c>
      <c r="P18" s="9">
        <v>0.3</v>
      </c>
      <c r="Q18" s="9">
        <f>+O18+M18+K18+I18+G18+E18+C18</f>
        <v>1</v>
      </c>
      <c r="R18" s="9">
        <f>+P18+N18+L18+J18+H18+F18+D18</f>
        <v>0.5</v>
      </c>
    </row>
    <row r="19" spans="1:18" ht="42">
      <c r="A19" s="103">
        <v>6</v>
      </c>
      <c r="B19" s="66" t="s">
        <v>25</v>
      </c>
      <c r="C19" s="70">
        <v>0</v>
      </c>
      <c r="D19" s="71">
        <v>0</v>
      </c>
      <c r="E19" s="70">
        <v>13.916</v>
      </c>
      <c r="F19" s="71">
        <v>2.087</v>
      </c>
      <c r="G19" s="70">
        <v>14.258366</v>
      </c>
      <c r="H19" s="71">
        <v>2.139</v>
      </c>
      <c r="I19" s="47">
        <v>13.319</v>
      </c>
      <c r="J19" s="9">
        <v>1.997</v>
      </c>
      <c r="K19" s="9">
        <v>10.1</v>
      </c>
      <c r="L19" s="9">
        <v>1.515</v>
      </c>
      <c r="M19" s="9">
        <v>11.1</v>
      </c>
      <c r="N19" s="9">
        <v>1.665</v>
      </c>
      <c r="O19" s="9">
        <v>2.14</v>
      </c>
      <c r="P19" s="9">
        <v>0.321</v>
      </c>
      <c r="Q19" s="9">
        <f aca="true" t="shared" si="3" ref="Q19:Q25">+O19+M19+K19+I19+G19+E19+C19</f>
        <v>64.833366</v>
      </c>
      <c r="R19" s="9">
        <f>+P19+N19+L19+J19+H19+F19+D19+0.001</f>
        <v>9.725</v>
      </c>
    </row>
    <row r="20" spans="1:18" ht="31.5">
      <c r="A20" s="103">
        <v>7</v>
      </c>
      <c r="B20" s="66" t="s">
        <v>26</v>
      </c>
      <c r="C20" s="70">
        <v>0</v>
      </c>
      <c r="D20" s="71">
        <v>0</v>
      </c>
      <c r="E20" s="70">
        <v>0</v>
      </c>
      <c r="F20" s="71">
        <v>0</v>
      </c>
      <c r="G20" s="70">
        <v>0</v>
      </c>
      <c r="H20" s="71">
        <v>0</v>
      </c>
      <c r="I20" s="47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f t="shared" si="3"/>
        <v>0</v>
      </c>
      <c r="R20" s="9">
        <f>+P20+N20+L20+J20+H20+F20+D20</f>
        <v>0</v>
      </c>
    </row>
    <row r="21" spans="1:18" ht="14.25">
      <c r="A21" s="103">
        <v>8</v>
      </c>
      <c r="B21" s="66" t="s">
        <v>27</v>
      </c>
      <c r="C21" s="70">
        <v>0</v>
      </c>
      <c r="D21" s="71">
        <v>0</v>
      </c>
      <c r="E21" s="70">
        <v>0.075</v>
      </c>
      <c r="F21" s="71">
        <v>0.038</v>
      </c>
      <c r="G21" s="70">
        <v>0.135</v>
      </c>
      <c r="H21" s="71">
        <v>0.068</v>
      </c>
      <c r="I21" s="47">
        <v>0.134</v>
      </c>
      <c r="J21" s="9">
        <v>0.068</v>
      </c>
      <c r="K21" s="9">
        <v>0.134</v>
      </c>
      <c r="L21" s="9">
        <v>0.067</v>
      </c>
      <c r="M21" s="9">
        <v>0.134</v>
      </c>
      <c r="N21" s="9">
        <v>0.067</v>
      </c>
      <c r="O21" s="9">
        <v>0.137</v>
      </c>
      <c r="P21" s="9">
        <v>0.069</v>
      </c>
      <c r="Q21" s="9">
        <f>+O21+M21+K21+I21+G21+E21+C21+0.001</f>
        <v>0.75</v>
      </c>
      <c r="R21" s="9">
        <f>+P21+N21+L21+J21+H21+F21+D21-0.002</f>
        <v>0.375</v>
      </c>
    </row>
    <row r="22" spans="1:18" ht="52.5">
      <c r="A22" s="103">
        <v>9</v>
      </c>
      <c r="B22" s="66" t="s">
        <v>28</v>
      </c>
      <c r="C22" s="70">
        <v>0</v>
      </c>
      <c r="D22" s="71">
        <v>0</v>
      </c>
      <c r="E22" s="70">
        <v>0</v>
      </c>
      <c r="F22" s="71">
        <v>0</v>
      </c>
      <c r="G22" s="70">
        <v>0</v>
      </c>
      <c r="H22" s="71">
        <v>0</v>
      </c>
      <c r="I22" s="47">
        <v>0</v>
      </c>
      <c r="J22" s="9">
        <v>0</v>
      </c>
      <c r="K22" s="9">
        <v>0</v>
      </c>
      <c r="L22" s="9">
        <v>0</v>
      </c>
      <c r="M22" s="9">
        <v>0.168</v>
      </c>
      <c r="N22" s="9">
        <v>0.031</v>
      </c>
      <c r="O22" s="9">
        <v>0.362</v>
      </c>
      <c r="P22" s="9">
        <v>0.067</v>
      </c>
      <c r="Q22" s="9">
        <f t="shared" si="3"/>
        <v>0.53</v>
      </c>
      <c r="R22" s="9">
        <f>+P22+N22+L22+J22+H22+F22+D22+0.002</f>
        <v>0.1</v>
      </c>
    </row>
    <row r="23" spans="1:18" ht="21">
      <c r="A23" s="103">
        <v>10</v>
      </c>
      <c r="B23" s="66" t="s">
        <v>29</v>
      </c>
      <c r="C23" s="70">
        <v>0</v>
      </c>
      <c r="D23" s="71">
        <v>0</v>
      </c>
      <c r="E23" s="70">
        <v>0</v>
      </c>
      <c r="F23" s="71">
        <v>0</v>
      </c>
      <c r="G23" s="70">
        <v>0</v>
      </c>
      <c r="H23" s="71">
        <v>0</v>
      </c>
      <c r="I23" s="47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f t="shared" si="3"/>
        <v>0</v>
      </c>
      <c r="R23" s="9">
        <f>+P23+N23+L23+J23+H23+F23+D23</f>
        <v>0</v>
      </c>
    </row>
    <row r="24" spans="1:18" ht="31.5">
      <c r="A24" s="103">
        <v>11</v>
      </c>
      <c r="B24" s="66" t="s">
        <v>30</v>
      </c>
      <c r="C24" s="70">
        <v>0</v>
      </c>
      <c r="D24" s="71">
        <v>0</v>
      </c>
      <c r="E24" s="70">
        <v>0</v>
      </c>
      <c r="F24" s="71">
        <v>0</v>
      </c>
      <c r="G24" s="70">
        <f>+H24/0.296</f>
        <v>0.9976111824324325</v>
      </c>
      <c r="H24" s="71">
        <v>0.29529291</v>
      </c>
      <c r="I24" s="47">
        <f>+J24/0.296-0.002</f>
        <v>3.862864864864865</v>
      </c>
      <c r="J24" s="9">
        <f>1.226-0.082</f>
        <v>1.144</v>
      </c>
      <c r="K24" s="9">
        <v>2.491</v>
      </c>
      <c r="L24" s="9">
        <v>0.738</v>
      </c>
      <c r="M24" s="9">
        <f>1.883+0.45</f>
        <v>2.333</v>
      </c>
      <c r="N24" s="9">
        <f>0.558+0.133</f>
        <v>0.6910000000000001</v>
      </c>
      <c r="O24" s="9">
        <f>2.005+0.461</f>
        <v>2.4659999999999997</v>
      </c>
      <c r="P24" s="9">
        <f>0.595+0.137</f>
        <v>0.732</v>
      </c>
      <c r="Q24" s="9">
        <f t="shared" si="3"/>
        <v>12.150476047297296</v>
      </c>
      <c r="R24" s="9">
        <f>+P24+N24+L24+J24+H24+F24+D24</f>
        <v>3.60029291</v>
      </c>
    </row>
    <row r="25" spans="1:18" ht="21">
      <c r="A25" s="103">
        <v>12</v>
      </c>
      <c r="B25" s="66" t="s">
        <v>31</v>
      </c>
      <c r="C25" s="70">
        <v>0</v>
      </c>
      <c r="D25" s="71">
        <v>0</v>
      </c>
      <c r="E25" s="70">
        <v>2.76</v>
      </c>
      <c r="F25" s="71">
        <v>0.816</v>
      </c>
      <c r="G25" s="70">
        <f>+(0.803/0.7)+(0.51517815/0.8)</f>
        <v>1.791115544642857</v>
      </c>
      <c r="H25" s="71">
        <v>0.488</v>
      </c>
      <c r="I25" s="47">
        <f>3.339+0.512+1.047</f>
        <v>4.898</v>
      </c>
      <c r="J25" s="9">
        <v>0.899</v>
      </c>
      <c r="K25" s="9">
        <v>3.343</v>
      </c>
      <c r="L25" s="9">
        <v>0.779</v>
      </c>
      <c r="M25" s="9">
        <v>4.137</v>
      </c>
      <c r="N25" s="9">
        <v>0.964</v>
      </c>
      <c r="O25" s="9">
        <v>6.47</v>
      </c>
      <c r="P25" s="9">
        <v>1.506</v>
      </c>
      <c r="Q25" s="9">
        <f t="shared" si="3"/>
        <v>23.399115544642854</v>
      </c>
      <c r="R25" s="9">
        <f>+P25+N25+L25+J25+H25+F25+D25</f>
        <v>5.451999999999999</v>
      </c>
    </row>
    <row r="26" spans="1:19" s="5" customFormat="1" ht="21">
      <c r="A26" s="103">
        <v>13</v>
      </c>
      <c r="B26" s="66" t="s">
        <v>32</v>
      </c>
      <c r="C26" s="70">
        <v>0</v>
      </c>
      <c r="D26" s="71">
        <v>0</v>
      </c>
      <c r="E26" s="70">
        <f>11.662-0.34</f>
        <v>11.322000000000001</v>
      </c>
      <c r="F26" s="71">
        <f>E26/2</f>
        <v>5.6610000000000005</v>
      </c>
      <c r="G26" s="70">
        <v>16.95335428</v>
      </c>
      <c r="H26" s="71">
        <v>8.47667714</v>
      </c>
      <c r="I26" s="47">
        <f>1.784+0.136</f>
        <v>1.92</v>
      </c>
      <c r="J26" s="9">
        <f>I26/2</f>
        <v>0.96</v>
      </c>
      <c r="K26" s="9">
        <v>15.75</v>
      </c>
      <c r="L26" s="9">
        <v>7.875</v>
      </c>
      <c r="M26" s="9">
        <v>15.484</v>
      </c>
      <c r="N26" s="9">
        <v>7.742</v>
      </c>
      <c r="O26" s="9">
        <v>16.381</v>
      </c>
      <c r="P26" s="9">
        <v>8.191</v>
      </c>
      <c r="Q26" s="9">
        <f>O26+M26+K26+I26+G26+E26+C26</f>
        <v>77.81035428000001</v>
      </c>
      <c r="R26" s="9">
        <f>P26+N26+L26+J26+H26+F26+D26-0.001</f>
        <v>38.904677140000004</v>
      </c>
      <c r="S26" s="10"/>
    </row>
    <row r="27" spans="1:21" s="5" customFormat="1" ht="14.25">
      <c r="A27" s="103"/>
      <c r="B27" s="66" t="s">
        <v>5</v>
      </c>
      <c r="C27" s="70">
        <v>31.308</v>
      </c>
      <c r="D27" s="71">
        <f>+C27/2</f>
        <v>15.654</v>
      </c>
      <c r="E27" s="70">
        <f>0.614+1.408</f>
        <v>2.022</v>
      </c>
      <c r="F27" s="71">
        <f>+E27/2</f>
        <v>1.011</v>
      </c>
      <c r="G27" s="70">
        <v>0.75170132</v>
      </c>
      <c r="H27" s="71">
        <v>0.37585066</v>
      </c>
      <c r="I27" s="47">
        <f>14.226+0.022</f>
        <v>14.248000000000001</v>
      </c>
      <c r="J27" s="9">
        <f>I27/2</f>
        <v>7.1240000000000006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f>O27+M27+K27+I27+G27+E27+C27</f>
        <v>48.32970132</v>
      </c>
      <c r="R27" s="9">
        <f>P27+N27+L27+J27+H27+F27+D27</f>
        <v>24.16485066</v>
      </c>
      <c r="S27" s="10"/>
      <c r="T27" s="10"/>
      <c r="U27" s="10"/>
    </row>
    <row r="28" spans="1:18" ht="31.5">
      <c r="A28" s="103">
        <v>14</v>
      </c>
      <c r="B28" s="66" t="s">
        <v>33</v>
      </c>
      <c r="C28" s="70">
        <v>0</v>
      </c>
      <c r="D28" s="71">
        <v>0</v>
      </c>
      <c r="E28" s="70">
        <f>4.147-0.201</f>
        <v>3.946</v>
      </c>
      <c r="F28" s="71">
        <f>2.074-0.101</f>
        <v>1.9729999999999999</v>
      </c>
      <c r="G28" s="70">
        <v>6.531</v>
      </c>
      <c r="H28" s="71">
        <v>3.266</v>
      </c>
      <c r="I28" s="47">
        <v>4.6</v>
      </c>
      <c r="J28" s="9">
        <v>2.3</v>
      </c>
      <c r="K28" s="9">
        <v>5.432</v>
      </c>
      <c r="L28" s="9">
        <v>2.716</v>
      </c>
      <c r="M28" s="9">
        <v>5.442</v>
      </c>
      <c r="N28" s="9">
        <v>2.721</v>
      </c>
      <c r="O28" s="9">
        <v>4.41</v>
      </c>
      <c r="P28" s="9">
        <v>2.204</v>
      </c>
      <c r="Q28" s="9">
        <f>SUM(C28+E28+G28+I28+K28+M28+O28)</f>
        <v>30.361</v>
      </c>
      <c r="R28" s="9">
        <f>SUM(D28+F28+H28+J28+L28+N28+P28)</f>
        <v>15.18</v>
      </c>
    </row>
    <row r="29" spans="1:18" ht="52.5">
      <c r="A29" s="103" t="s">
        <v>8</v>
      </c>
      <c r="B29" s="66" t="s">
        <v>34</v>
      </c>
      <c r="C29" s="70">
        <v>0</v>
      </c>
      <c r="D29" s="71">
        <v>0</v>
      </c>
      <c r="E29" s="70">
        <v>0</v>
      </c>
      <c r="F29" s="71">
        <v>0</v>
      </c>
      <c r="G29" s="70">
        <v>0</v>
      </c>
      <c r="H29" s="71">
        <v>0</v>
      </c>
      <c r="I29" s="47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f>+O29+M29+K29+I29+G29+E29+C29</f>
        <v>0</v>
      </c>
      <c r="R29" s="9">
        <f>+P29+N29+L29+J29+H29+F29+D29</f>
        <v>0</v>
      </c>
    </row>
    <row r="30" spans="1:20" ht="52.5">
      <c r="A30" s="103" t="s">
        <v>36</v>
      </c>
      <c r="B30" s="66" t="s">
        <v>35</v>
      </c>
      <c r="C30" s="70">
        <f>SUM(C31:C32)</f>
        <v>0</v>
      </c>
      <c r="D30" s="71">
        <f aca="true" t="shared" si="4" ref="D30:P30">SUM(D31:D32)</f>
        <v>0</v>
      </c>
      <c r="E30" s="70">
        <f t="shared" si="4"/>
        <v>2.908</v>
      </c>
      <c r="F30" s="71">
        <f t="shared" si="4"/>
        <v>0.46527999999999997</v>
      </c>
      <c r="G30" s="70">
        <f t="shared" si="4"/>
        <v>5.5520000000000005</v>
      </c>
      <c r="H30" s="71">
        <f>SUM(H31:H32)+0.001</f>
        <v>1.023</v>
      </c>
      <c r="I30" s="47">
        <f t="shared" si="4"/>
        <v>4.89160759545585</v>
      </c>
      <c r="J30" s="9">
        <f t="shared" si="4"/>
        <v>1.037840960013124</v>
      </c>
      <c r="K30" s="9">
        <f t="shared" si="4"/>
        <v>5.3484929664110235</v>
      </c>
      <c r="L30" s="9">
        <f t="shared" si="4"/>
        <v>1.1347772621908705</v>
      </c>
      <c r="M30" s="9">
        <f t="shared" si="4"/>
        <v>6.463460935897961</v>
      </c>
      <c r="N30" s="9">
        <f>SUM(N31:N32)+0.001</f>
        <v>1.3723374124595002</v>
      </c>
      <c r="O30" s="9">
        <f t="shared" si="4"/>
        <v>8.904691752450479</v>
      </c>
      <c r="P30" s="9">
        <f t="shared" si="4"/>
        <v>2.197</v>
      </c>
      <c r="Q30" s="9">
        <f>+O30+M30+K30+I30+G30+E30+C30</f>
        <v>34.068253250215314</v>
      </c>
      <c r="R30" s="9">
        <f>+P30+N30+L30+J30+H30+F30+D30-0.002</f>
        <v>7.228235634663495</v>
      </c>
      <c r="T30" s="13"/>
    </row>
    <row r="31" spans="1:18" s="5" customFormat="1" ht="42">
      <c r="A31" s="103" t="s">
        <v>9</v>
      </c>
      <c r="B31" s="66" t="s">
        <v>38</v>
      </c>
      <c r="C31" s="70"/>
      <c r="D31" s="71"/>
      <c r="E31" s="70">
        <v>0</v>
      </c>
      <c r="F31" s="71">
        <f>+E31*0.296</f>
        <v>0</v>
      </c>
      <c r="G31" s="70">
        <v>1.011</v>
      </c>
      <c r="H31" s="71">
        <v>0.299</v>
      </c>
      <c r="I31" s="47">
        <f>13.068*3.501/24.383</f>
        <v>1.876351064266087</v>
      </c>
      <c r="J31" s="9">
        <f>+I31*0.296</f>
        <v>0.5553999150227618</v>
      </c>
      <c r="K31" s="9">
        <f>13.068*3.828/24.383</f>
        <v>2.051605790919903</v>
      </c>
      <c r="L31" s="9">
        <f>+K31*0.296</f>
        <v>0.6072753141122912</v>
      </c>
      <c r="M31" s="9">
        <f>13.068*4.626/24.383</f>
        <v>2.479291637616372</v>
      </c>
      <c r="N31" s="9">
        <f>+M31*0.296-0.001</f>
        <v>0.7328703247344461</v>
      </c>
      <c r="O31" s="9">
        <f>13.068*4.901/24.383+1.047+1.131+0.845</f>
        <v>5.649677111101997</v>
      </c>
      <c r="P31" s="9">
        <v>1.673</v>
      </c>
      <c r="Q31" s="9">
        <f>+O31+M31+K31+I31+G31+E31+C31</f>
        <v>13.067925603904358</v>
      </c>
      <c r="R31" s="9">
        <f>+P31+N31+L31+J31+H31+F31+D31-0.001</f>
        <v>3.866545553869499</v>
      </c>
    </row>
    <row r="32" spans="1:18" s="5" customFormat="1" ht="21">
      <c r="A32" s="103" t="s">
        <v>10</v>
      </c>
      <c r="B32" s="66" t="s">
        <v>37</v>
      </c>
      <c r="C32" s="70"/>
      <c r="D32" s="71"/>
      <c r="E32" s="70">
        <v>2.908</v>
      </c>
      <c r="F32" s="71">
        <f>+E32*0.16</f>
        <v>0.46527999999999997</v>
      </c>
      <c r="G32" s="70">
        <v>4.541</v>
      </c>
      <c r="H32" s="71">
        <v>0.723</v>
      </c>
      <c r="I32" s="47">
        <f>21*3.501/24.383</f>
        <v>3.0152565311897637</v>
      </c>
      <c r="J32" s="9">
        <f>+I32*0.16</f>
        <v>0.4824410449903622</v>
      </c>
      <c r="K32" s="9">
        <f>21*3.828/24.383</f>
        <v>3.2968871754911206</v>
      </c>
      <c r="L32" s="9">
        <f>+K32*0.16</f>
        <v>0.5275019480785793</v>
      </c>
      <c r="M32" s="9">
        <f>21*4.626/24.383</f>
        <v>3.9841692982815897</v>
      </c>
      <c r="N32" s="9">
        <f>+M32*0.16+0.001</f>
        <v>0.6384670877250543</v>
      </c>
      <c r="O32" s="9">
        <f>21*4.901/24.383-0.966</f>
        <v>3.25501464134848</v>
      </c>
      <c r="P32" s="9">
        <v>0.524</v>
      </c>
      <c r="Q32" s="9">
        <f>+O32+M32+K32+I32+G32+E32+C32</f>
        <v>21.000327646310957</v>
      </c>
      <c r="R32" s="9">
        <f>+P32+N32+L32+J32+H32+F32+D32-0.001</f>
        <v>3.3596900807939956</v>
      </c>
    </row>
    <row r="33" spans="1:18" s="5" customFormat="1" ht="14.25">
      <c r="A33" s="103"/>
      <c r="B33" s="67" t="s">
        <v>53</v>
      </c>
      <c r="C33" s="70"/>
      <c r="D33" s="71">
        <v>2.119</v>
      </c>
      <c r="E33" s="70"/>
      <c r="F33" s="71"/>
      <c r="G33" s="70"/>
      <c r="H33" s="71"/>
      <c r="I33" s="47"/>
      <c r="J33" s="9"/>
      <c r="K33" s="9"/>
      <c r="L33" s="9"/>
      <c r="M33" s="9"/>
      <c r="N33" s="9"/>
      <c r="O33" s="9"/>
      <c r="P33" s="9">
        <v>-2.119</v>
      </c>
      <c r="Q33" s="9"/>
      <c r="R33" s="9">
        <f>+P33+N33+L33+J33+H33+F33+D33</f>
        <v>0</v>
      </c>
    </row>
    <row r="34" spans="1:18" s="4" customFormat="1" ht="15" thickBot="1">
      <c r="A34" s="104"/>
      <c r="B34" s="75" t="s">
        <v>4</v>
      </c>
      <c r="C34" s="72">
        <f>SUM(C30+C29+C28+C27+C26+C25+C24+C23+C22+C21+C20+C19+C18+C15+C12+C11+C10+C9+C8)</f>
        <v>31.308</v>
      </c>
      <c r="D34" s="73">
        <f>SUM(D8:D33)</f>
        <v>17.773</v>
      </c>
      <c r="E34" s="72">
        <f>SUM(E30+E29+E28+E27+E26+E25+E24+E23+E22+E21+E20+E19+E18+E15+E12+E11+E10+E9+E8)</f>
        <v>43.736</v>
      </c>
      <c r="F34" s="73">
        <f>SUM(F30+F29+F28+F27+F26+F25+F24+F23+F22+F21+F20+F19+F18+F15+F12+F11+F10+F9+F8)</f>
        <v>13.297530000000004</v>
      </c>
      <c r="G34" s="72">
        <f>SUM(G30+G29+G28+G27+G26+G25+G24+G23+G22+G21+G20+G19+G18+G15+G12+G11+G10+G9+G8)</f>
        <v>56.62611083707529</v>
      </c>
      <c r="H34" s="73">
        <f>SUM(H30+H29+H28+H27+H26+H25+H24+H23+H22+H21+H20+H19+H18+H15+H12+H11+H10+H9+H8)-0.002</f>
        <v>18.15413787</v>
      </c>
      <c r="I34" s="74">
        <f>SUM(I30+I29+I28+I27+I26+I25+I24+I23+I22+I21+I20+I19+I18+I15+I12+I11+I10+I9+I8)-0.003</f>
        <v>60.101472460320714</v>
      </c>
      <c r="J34" s="12">
        <f>SUM(J30+J29+J28+J27+J26+J25+J24+J23+J22+J21+J20+J19+J18+J15+J12+J11+J10+J9+J8)</f>
        <v>17.946340960013124</v>
      </c>
      <c r="K34" s="12">
        <f>SUM(K30+K29+K28+K27+K26+K25+K24+K23+K22+K21+K20+K19+K18+K15+K12+K11+K10+K9+K8)</f>
        <v>56.43949296641103</v>
      </c>
      <c r="L34" s="12">
        <f>SUM(L30+L29+L28+L27+L26+L25+L24+L23+L22+L21+L20+L19+L18+L15+L12+L11+L10+L9+L8)</f>
        <v>17.319860595524204</v>
      </c>
      <c r="M34" s="12">
        <f>SUM(M30+M29+M28+M27+M26+M25+M24+M23+M22+M21+M20+M19+M18+M15+M12+M11+M10+M9+M8)-0.001</f>
        <v>58.85246093589797</v>
      </c>
      <c r="N34" s="12">
        <f>SUM(N30+N29+N28+N27+N26+N25+N24+N23+N22+N21+N20+N19+N18+N15+N12+N11+N10+N9+N8)-0.001</f>
        <v>17.70957074579283</v>
      </c>
      <c r="O34" s="12">
        <f>SUM(O30+O29+O28+O27+O26+O25+O24+O23+O22+O21+O20+O19+O18+O15+O12+O11+O10+O9+O8)</f>
        <v>57.77669175245048</v>
      </c>
      <c r="P34" s="12">
        <f>+P30+P29+P28+P27+P26+P25+P24+P23+P22+P21+P20+P19+P18+P15+P12+P11+P10+P9+P8+P33+0.003</f>
        <v>16.46875</v>
      </c>
      <c r="Q34" s="12">
        <f>SUM(C34+E34+G34+I34+K34+M34+O34)-0.002</f>
        <v>364.8382289521555</v>
      </c>
      <c r="R34" s="12">
        <f>SUM(D34+F34+H34+J34+L34+N34+P34)+0.001</f>
        <v>118.67019017133018</v>
      </c>
    </row>
    <row r="35" spans="2:18" s="10" customFormat="1" ht="14.25">
      <c r="B35" s="37"/>
      <c r="C35" s="81"/>
      <c r="D35" s="81"/>
      <c r="E35" s="81"/>
      <c r="F35" s="81"/>
      <c r="G35" s="81"/>
      <c r="H35" s="81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ht="15">
      <c r="A36" s="26" t="s">
        <v>45</v>
      </c>
    </row>
    <row r="37" spans="1:16" s="5" customFormat="1" ht="14.25">
      <c r="A37" s="38"/>
      <c r="B37" s="39"/>
      <c r="C37" s="79"/>
      <c r="D37" s="82"/>
      <c r="E37" s="79"/>
      <c r="F37" s="82"/>
      <c r="G37" s="79"/>
      <c r="H37" s="82"/>
      <c r="J37" s="10"/>
      <c r="L37" s="10"/>
      <c r="N37" s="10"/>
      <c r="P37" s="10"/>
    </row>
    <row r="39" spans="11:16" ht="15">
      <c r="K39" s="10"/>
      <c r="P39" s="10"/>
    </row>
    <row r="40" ht="15">
      <c r="Q40" s="132"/>
    </row>
  </sheetData>
  <mergeCells count="16">
    <mergeCell ref="C5:D5"/>
    <mergeCell ref="E5:F5"/>
    <mergeCell ref="G5:H5"/>
    <mergeCell ref="I5:J5"/>
    <mergeCell ref="K5:L5"/>
    <mergeCell ref="M5:N5"/>
    <mergeCell ref="O5:P5"/>
    <mergeCell ref="Q5:R5"/>
    <mergeCell ref="C6:D6"/>
    <mergeCell ref="E6:F6"/>
    <mergeCell ref="G6:H6"/>
    <mergeCell ref="I6:J6"/>
    <mergeCell ref="K6:L6"/>
    <mergeCell ref="M6:N6"/>
    <mergeCell ref="O6:P6"/>
    <mergeCell ref="Q6:R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57" r:id="rId1"/>
  <headerFooter alignWithMargins="0">
    <oddHeader>&amp;CPSR 2000-2006</oddHeader>
    <oddFooter>&amp;C&amp;"Arial Narrow,Normale"&amp;10&amp;F&amp;R&amp;A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U40"/>
  <sheetViews>
    <sheetView showGridLines="0" showZeros="0" workbookViewId="0" topLeftCell="A5">
      <pane ySplit="3" topLeftCell="BM8" activePane="bottomLeft" state="frozen"/>
      <selection pane="topLeft" activeCell="D15" sqref="D15"/>
      <selection pane="bottomLeft" activeCell="D15" sqref="D15"/>
    </sheetView>
  </sheetViews>
  <sheetFormatPr defaultColWidth="9.140625" defaultRowHeight="12"/>
  <cols>
    <col min="1" max="1" width="6.8515625" style="5" customWidth="1"/>
    <col min="2" max="2" width="30.00390625" style="5" customWidth="1"/>
    <col min="3" max="3" width="10.28125" style="23" customWidth="1"/>
    <col min="4" max="4" width="12.00390625" style="23" customWidth="1"/>
    <col min="5" max="5" width="10.00390625" style="5" customWidth="1"/>
    <col min="6" max="6" width="11.8515625" style="16" customWidth="1"/>
    <col min="7" max="7" width="10.00390625" style="5" customWidth="1"/>
    <col min="8" max="8" width="12.00390625" style="5" customWidth="1"/>
    <col min="9" max="18" width="10.00390625" style="5" customWidth="1"/>
    <col min="19" max="16384" width="9.140625" style="5" customWidth="1"/>
  </cols>
  <sheetData>
    <row r="1" ht="12.75">
      <c r="A1" s="4" t="s">
        <v>46</v>
      </c>
    </row>
    <row r="2" ht="12.75">
      <c r="A2" s="4"/>
    </row>
    <row r="3" ht="12.75">
      <c r="A3" s="35" t="s">
        <v>48</v>
      </c>
    </row>
    <row r="4" ht="13.5" thickBot="1"/>
    <row r="5" spans="1:18" s="27" customFormat="1" ht="14.25">
      <c r="A5" s="106"/>
      <c r="B5" s="105"/>
      <c r="C5" s="143" t="s">
        <v>6</v>
      </c>
      <c r="D5" s="144"/>
      <c r="E5" s="143" t="s">
        <v>6</v>
      </c>
      <c r="F5" s="144"/>
      <c r="G5" s="143" t="s">
        <v>6</v>
      </c>
      <c r="H5" s="144"/>
      <c r="I5" s="141" t="s">
        <v>6</v>
      </c>
      <c r="J5" s="141"/>
      <c r="K5" s="140" t="s">
        <v>6</v>
      </c>
      <c r="L5" s="141"/>
      <c r="M5" s="140" t="s">
        <v>6</v>
      </c>
      <c r="N5" s="141"/>
      <c r="O5" s="140" t="s">
        <v>6</v>
      </c>
      <c r="P5" s="142"/>
      <c r="Q5" s="141" t="s">
        <v>1</v>
      </c>
      <c r="R5" s="142"/>
    </row>
    <row r="6" spans="1:18" s="15" customFormat="1" ht="14.25">
      <c r="A6" s="99"/>
      <c r="B6" s="100" t="s">
        <v>0</v>
      </c>
      <c r="C6" s="138">
        <v>2000</v>
      </c>
      <c r="D6" s="139"/>
      <c r="E6" s="138">
        <v>2001</v>
      </c>
      <c r="F6" s="139"/>
      <c r="G6" s="138">
        <v>2002</v>
      </c>
      <c r="H6" s="139"/>
      <c r="I6" s="135">
        <v>2003</v>
      </c>
      <c r="J6" s="137"/>
      <c r="K6" s="135">
        <v>2004</v>
      </c>
      <c r="L6" s="135"/>
      <c r="M6" s="136">
        <v>2005</v>
      </c>
      <c r="N6" s="137"/>
      <c r="O6" s="136">
        <v>2006</v>
      </c>
      <c r="P6" s="137"/>
      <c r="Q6" s="145"/>
      <c r="R6" s="146"/>
    </row>
    <row r="7" spans="1:18" ht="42.75">
      <c r="A7" s="101"/>
      <c r="B7" s="102"/>
      <c r="C7" s="68" t="s">
        <v>41</v>
      </c>
      <c r="D7" s="69" t="s">
        <v>3</v>
      </c>
      <c r="E7" s="68" t="s">
        <v>41</v>
      </c>
      <c r="F7" s="69" t="s">
        <v>3</v>
      </c>
      <c r="G7" s="68" t="s">
        <v>41</v>
      </c>
      <c r="H7" s="69" t="s">
        <v>3</v>
      </c>
      <c r="I7" s="108" t="s">
        <v>41</v>
      </c>
      <c r="J7" s="109" t="s">
        <v>3</v>
      </c>
      <c r="K7" s="108" t="s">
        <v>41</v>
      </c>
      <c r="L7" s="109" t="s">
        <v>3</v>
      </c>
      <c r="M7" s="108" t="s">
        <v>41</v>
      </c>
      <c r="N7" s="109" t="s">
        <v>3</v>
      </c>
      <c r="O7" s="108" t="s">
        <v>41</v>
      </c>
      <c r="P7" s="109" t="s">
        <v>3</v>
      </c>
      <c r="Q7" s="108" t="s">
        <v>41</v>
      </c>
      <c r="R7" s="109" t="s">
        <v>3</v>
      </c>
    </row>
    <row r="8" spans="1:19" ht="21">
      <c r="A8" s="103">
        <v>1</v>
      </c>
      <c r="B8" s="66" t="s">
        <v>14</v>
      </c>
      <c r="C8" s="70">
        <f>0-0</f>
        <v>0</v>
      </c>
      <c r="D8" s="71">
        <v>0</v>
      </c>
      <c r="E8" s="70">
        <f>2.061-0.027</f>
        <v>2.034</v>
      </c>
      <c r="F8" s="71">
        <f>0.687-0.009</f>
        <v>0.678</v>
      </c>
      <c r="G8" s="70">
        <v>2.7702285</v>
      </c>
      <c r="H8" s="71">
        <v>0.92331716</v>
      </c>
      <c r="I8" s="47">
        <v>2.908018</v>
      </c>
      <c r="J8" s="9">
        <v>0.968766</v>
      </c>
      <c r="K8" s="9">
        <f>9.905-1-4.898</f>
        <v>4.007</v>
      </c>
      <c r="L8" s="9">
        <v>1.336</v>
      </c>
      <c r="M8" s="9">
        <f>9.859-1-4.872</f>
        <v>3.987</v>
      </c>
      <c r="N8" s="9">
        <v>1.329</v>
      </c>
      <c r="O8" s="9">
        <f>10.098-1-5.004</f>
        <v>4.094000000000001</v>
      </c>
      <c r="P8" s="9">
        <v>1.365</v>
      </c>
      <c r="Q8" s="9">
        <f aca="true" t="shared" si="0" ref="Q8:R11">+O8+M8+K8+I8+G8+E8+C8</f>
        <v>19.8002465</v>
      </c>
      <c r="R8" s="9">
        <f t="shared" si="0"/>
        <v>6.60008316</v>
      </c>
      <c r="S8" s="10"/>
    </row>
    <row r="9" spans="1:18" ht="21">
      <c r="A9" s="103">
        <v>2</v>
      </c>
      <c r="B9" s="66" t="s">
        <v>15</v>
      </c>
      <c r="C9" s="70">
        <v>0</v>
      </c>
      <c r="D9" s="71">
        <v>0</v>
      </c>
      <c r="E9" s="70">
        <v>0.575</v>
      </c>
      <c r="F9" s="71">
        <v>0.287</v>
      </c>
      <c r="G9" s="70">
        <v>1.4975</v>
      </c>
      <c r="H9" s="71">
        <v>0.74875</v>
      </c>
      <c r="I9" s="47">
        <v>1.1195</v>
      </c>
      <c r="J9" s="9">
        <v>0.55975</v>
      </c>
      <c r="K9" s="9">
        <v>0.883</v>
      </c>
      <c r="L9" s="9">
        <v>0.443</v>
      </c>
      <c r="M9" s="9">
        <v>0.886</v>
      </c>
      <c r="N9" s="9">
        <v>0.443</v>
      </c>
      <c r="O9" s="9">
        <v>0.891</v>
      </c>
      <c r="P9" s="9">
        <v>0.444</v>
      </c>
      <c r="Q9" s="9">
        <f t="shared" si="0"/>
        <v>5.852</v>
      </c>
      <c r="R9" s="9">
        <f t="shared" si="0"/>
        <v>2.9255</v>
      </c>
    </row>
    <row r="10" spans="1:18" ht="14.25">
      <c r="A10" s="103">
        <v>3</v>
      </c>
      <c r="B10" s="66" t="s">
        <v>16</v>
      </c>
      <c r="C10" s="70">
        <v>0</v>
      </c>
      <c r="D10" s="71">
        <v>0</v>
      </c>
      <c r="E10" s="70">
        <v>0</v>
      </c>
      <c r="F10" s="71">
        <v>0</v>
      </c>
      <c r="G10" s="70">
        <v>0</v>
      </c>
      <c r="H10" s="71">
        <v>0</v>
      </c>
      <c r="I10" s="47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f t="shared" si="0"/>
        <v>0</v>
      </c>
      <c r="R10" s="9">
        <f t="shared" si="0"/>
        <v>0</v>
      </c>
    </row>
    <row r="11" spans="1:18" ht="21">
      <c r="A11" s="103">
        <v>4</v>
      </c>
      <c r="B11" s="66" t="s">
        <v>17</v>
      </c>
      <c r="C11" s="70">
        <v>0</v>
      </c>
      <c r="D11" s="71">
        <v>0</v>
      </c>
      <c r="E11" s="70">
        <v>0</v>
      </c>
      <c r="F11" s="71">
        <v>0</v>
      </c>
      <c r="G11" s="70">
        <v>0</v>
      </c>
      <c r="H11" s="71">
        <v>0</v>
      </c>
      <c r="I11" s="47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f t="shared" si="0"/>
        <v>0</v>
      </c>
      <c r="R11" s="9">
        <f t="shared" si="0"/>
        <v>0</v>
      </c>
    </row>
    <row r="12" spans="1:19" ht="42">
      <c r="A12" s="103" t="s">
        <v>21</v>
      </c>
      <c r="B12" s="66" t="s">
        <v>39</v>
      </c>
      <c r="C12" s="70">
        <v>0</v>
      </c>
      <c r="D12" s="71">
        <v>0</v>
      </c>
      <c r="E12" s="70">
        <f>SUM(E13:E14)</f>
        <v>0.773</v>
      </c>
      <c r="F12" s="71">
        <f aca="true" t="shared" si="1" ref="F12:P12">SUM(F13:F14)</f>
        <v>0.258</v>
      </c>
      <c r="G12" s="70">
        <f t="shared" si="1"/>
        <v>0.55188035</v>
      </c>
      <c r="H12" s="71">
        <f t="shared" si="1"/>
        <v>0.18319144</v>
      </c>
      <c r="I12" s="47">
        <f t="shared" si="1"/>
        <v>1.6142996699999999</v>
      </c>
      <c r="J12" s="9">
        <f t="shared" si="1"/>
        <v>0.523449</v>
      </c>
      <c r="K12" s="9">
        <f t="shared" si="1"/>
        <v>1.7329999999999999</v>
      </c>
      <c r="L12" s="9">
        <f t="shared" si="1"/>
        <v>0.5630000000000001</v>
      </c>
      <c r="M12" s="9">
        <f t="shared" si="1"/>
        <v>1.642</v>
      </c>
      <c r="N12" s="9">
        <f t="shared" si="1"/>
        <v>0.532</v>
      </c>
      <c r="O12" s="9">
        <f t="shared" si="1"/>
        <v>2.9379999999999997</v>
      </c>
      <c r="P12" s="9">
        <f t="shared" si="1"/>
        <v>0.935</v>
      </c>
      <c r="Q12" s="9">
        <f aca="true" t="shared" si="2" ref="Q12:R16">SUM(O12+M12+K12+I12+G12+E12)</f>
        <v>9.252180019999999</v>
      </c>
      <c r="R12" s="9">
        <f>SUM(P12+N12+L12+J12+H12+F12)-0.001</f>
        <v>2.9936404400000005</v>
      </c>
      <c r="S12" s="10"/>
    </row>
    <row r="13" spans="1:18" ht="21">
      <c r="A13" s="103" t="s">
        <v>22</v>
      </c>
      <c r="B13" s="66" t="s">
        <v>24</v>
      </c>
      <c r="C13" s="70"/>
      <c r="D13" s="71"/>
      <c r="E13" s="70">
        <v>0.773</v>
      </c>
      <c r="F13" s="71">
        <v>0.258</v>
      </c>
      <c r="G13" s="70">
        <v>0.51572836</v>
      </c>
      <c r="H13" s="71">
        <v>0.17189398</v>
      </c>
      <c r="I13" s="47">
        <f>0.89529967-0.001</f>
        <v>0.89429967</v>
      </c>
      <c r="J13" s="9">
        <f>0.298449</f>
        <v>0.298449</v>
      </c>
      <c r="K13" s="9">
        <v>1.013</v>
      </c>
      <c r="L13" s="9">
        <v>0.338</v>
      </c>
      <c r="M13" s="9">
        <v>0.922</v>
      </c>
      <c r="N13" s="9">
        <v>0.307</v>
      </c>
      <c r="O13" s="9">
        <v>0.814</v>
      </c>
      <c r="P13" s="9">
        <v>0.271</v>
      </c>
      <c r="Q13" s="9">
        <f t="shared" si="2"/>
        <v>4.93202803</v>
      </c>
      <c r="R13" s="9">
        <f t="shared" si="2"/>
        <v>1.6443429800000002</v>
      </c>
    </row>
    <row r="14" spans="1:19" ht="42">
      <c r="A14" s="103" t="s">
        <v>23</v>
      </c>
      <c r="B14" s="66" t="s">
        <v>40</v>
      </c>
      <c r="C14" s="70"/>
      <c r="D14" s="71"/>
      <c r="E14" s="70">
        <v>0</v>
      </c>
      <c r="F14" s="71">
        <v>0</v>
      </c>
      <c r="G14" s="70">
        <v>0.03615199</v>
      </c>
      <c r="H14" s="71">
        <v>0.01129746</v>
      </c>
      <c r="I14" s="47">
        <f>0.9-0.18</f>
        <v>0.72</v>
      </c>
      <c r="J14" s="9">
        <v>0.225</v>
      </c>
      <c r="K14" s="9">
        <f>0.9-0.18</f>
        <v>0.72</v>
      </c>
      <c r="L14" s="9">
        <v>0.225</v>
      </c>
      <c r="M14" s="9">
        <f>0.9-0.18</f>
        <v>0.72</v>
      </c>
      <c r="N14" s="9">
        <v>0.225</v>
      </c>
      <c r="O14" s="9">
        <f>0.9-0.18+0.208+1.196</f>
        <v>2.1239999999999997</v>
      </c>
      <c r="P14" s="9">
        <f>0.225+0.065+0.374</f>
        <v>0.664</v>
      </c>
      <c r="Q14" s="9">
        <f t="shared" si="2"/>
        <v>4.3201519899999985</v>
      </c>
      <c r="R14" s="9">
        <f t="shared" si="2"/>
        <v>1.3502974600000002</v>
      </c>
      <c r="S14" s="10"/>
    </row>
    <row r="15" spans="1:19" ht="52.5">
      <c r="A15" s="103" t="s">
        <v>11</v>
      </c>
      <c r="B15" s="66" t="s">
        <v>18</v>
      </c>
      <c r="C15" s="70">
        <v>0</v>
      </c>
      <c r="D15" s="71">
        <v>0</v>
      </c>
      <c r="E15" s="70">
        <f>SUM(E16:E17)-0.001</f>
        <v>0.067</v>
      </c>
      <c r="F15" s="71">
        <f>SUM(F16:F17)</f>
        <v>0.023</v>
      </c>
      <c r="G15" s="70">
        <f>SUM(G16:G17)-0.001</f>
        <v>0.45768702</v>
      </c>
      <c r="H15" s="71">
        <f>SUM(H16:H17)-0.001</f>
        <v>0.16823206</v>
      </c>
      <c r="I15" s="47">
        <f>SUM(I16:I17)-0.001</f>
        <v>0.46799999999999997</v>
      </c>
      <c r="J15" s="9">
        <f>SUM(J16:J17)</f>
        <v>0.16499999999999998</v>
      </c>
      <c r="K15" s="9">
        <f>SUM(K16:K17)-0.001</f>
        <v>0.43199999999999994</v>
      </c>
      <c r="L15" s="9">
        <f>SUM(L16:L17)-0.001</f>
        <v>0.153</v>
      </c>
      <c r="M15" s="9">
        <f>SUM(M16:M17)</f>
        <v>0.43199999999999994</v>
      </c>
      <c r="N15" s="9">
        <f>SUM(N16:N17)-0.001</f>
        <v>0.153</v>
      </c>
      <c r="O15" s="9">
        <f>SUM(O16:O17)</f>
        <v>0.743</v>
      </c>
      <c r="P15" s="9">
        <f>SUM(P16:P17)-0.001</f>
        <v>0.254</v>
      </c>
      <c r="Q15" s="9">
        <f>SUM(O15+M15+K15+I15+G15+E15)</f>
        <v>2.5996870199999997</v>
      </c>
      <c r="R15" s="9">
        <f>SUM(P15+N15+L15+J15+H15+F15)+0.004</f>
        <v>0.9202320600000001</v>
      </c>
      <c r="S15" s="10"/>
    </row>
    <row r="16" spans="1:18" ht="52.5">
      <c r="A16" s="103" t="s">
        <v>12</v>
      </c>
      <c r="B16" s="66" t="s">
        <v>19</v>
      </c>
      <c r="C16" s="70"/>
      <c r="D16" s="71"/>
      <c r="E16" s="70">
        <v>0.032</v>
      </c>
      <c r="F16" s="71">
        <v>0.012</v>
      </c>
      <c r="G16" s="70">
        <v>0.4022899</v>
      </c>
      <c r="H16" s="71">
        <v>0.15123206</v>
      </c>
      <c r="I16" s="47">
        <f>0.717-0.431</f>
        <v>0.286</v>
      </c>
      <c r="J16" s="9">
        <v>0.108</v>
      </c>
      <c r="K16" s="9">
        <f>0.717-0.431</f>
        <v>0.286</v>
      </c>
      <c r="L16" s="9">
        <v>0.108</v>
      </c>
      <c r="M16" s="9">
        <f>0.717-0.432</f>
        <v>0.285</v>
      </c>
      <c r="N16" s="9">
        <v>0.108</v>
      </c>
      <c r="O16" s="9">
        <v>0.431</v>
      </c>
      <c r="P16" s="9">
        <v>0.158</v>
      </c>
      <c r="Q16" s="9">
        <f t="shared" si="2"/>
        <v>1.7222899</v>
      </c>
      <c r="R16" s="9">
        <f>SUM(P16+N16+L16+J16+H16+F16)</f>
        <v>0.64523206</v>
      </c>
    </row>
    <row r="17" spans="1:18" ht="63">
      <c r="A17" s="103" t="s">
        <v>13</v>
      </c>
      <c r="B17" s="66" t="s">
        <v>20</v>
      </c>
      <c r="C17" s="70"/>
      <c r="D17" s="71"/>
      <c r="E17" s="70">
        <v>0.036</v>
      </c>
      <c r="F17" s="71">
        <v>0.011</v>
      </c>
      <c r="G17" s="70">
        <v>0.05639712</v>
      </c>
      <c r="H17" s="71">
        <v>0.018</v>
      </c>
      <c r="I17" s="47">
        <f>0.046+0.071+0.03+0.036</f>
        <v>0.183</v>
      </c>
      <c r="J17" s="9">
        <f>0.046+0.011</f>
        <v>0.056999999999999995</v>
      </c>
      <c r="K17" s="9">
        <f>0.046+0.071+0.03</f>
        <v>0.147</v>
      </c>
      <c r="L17" s="9">
        <v>0.046</v>
      </c>
      <c r="M17" s="9">
        <f>0.046+0.071+0.03</f>
        <v>0.147</v>
      </c>
      <c r="N17" s="9">
        <v>0.046</v>
      </c>
      <c r="O17" s="9">
        <v>0.312</v>
      </c>
      <c r="P17" s="9">
        <v>0.097</v>
      </c>
      <c r="Q17" s="9">
        <f>SUM(O17+M17+K17+I17+G17+E17)</f>
        <v>0.8813971199999999</v>
      </c>
      <c r="R17" s="9">
        <f>SUM(P17+N17+L17+J17+H17+F17)</f>
        <v>0.275</v>
      </c>
    </row>
    <row r="18" spans="1:18" ht="31.5">
      <c r="A18" s="103"/>
      <c r="B18" s="66" t="s">
        <v>7</v>
      </c>
      <c r="C18" s="70">
        <v>0</v>
      </c>
      <c r="D18" s="71">
        <f>+C18/2</f>
        <v>0</v>
      </c>
      <c r="E18" s="70">
        <f>0.642-0.642</f>
        <v>0</v>
      </c>
      <c r="F18" s="71">
        <f>+E18/2</f>
        <v>0</v>
      </c>
      <c r="G18" s="70">
        <v>0</v>
      </c>
      <c r="H18" s="71">
        <v>0</v>
      </c>
      <c r="I18" s="47">
        <v>0.4</v>
      </c>
      <c r="J18" s="9">
        <v>0.2</v>
      </c>
      <c r="K18" s="9">
        <v>0</v>
      </c>
      <c r="L18" s="9">
        <v>0</v>
      </c>
      <c r="M18" s="9">
        <v>0</v>
      </c>
      <c r="N18" s="9">
        <v>0</v>
      </c>
      <c r="O18" s="9">
        <v>0.6</v>
      </c>
      <c r="P18" s="9">
        <v>0.3</v>
      </c>
      <c r="Q18" s="9">
        <f>+O18+M18+K18+I18+G18+E18+C18</f>
        <v>1</v>
      </c>
      <c r="R18" s="9">
        <f>+P18+N18+L18+J18+H18+F18+D18</f>
        <v>0.5</v>
      </c>
    </row>
    <row r="19" spans="1:18" ht="42">
      <c r="A19" s="103">
        <v>6</v>
      </c>
      <c r="B19" s="66" t="s">
        <v>25</v>
      </c>
      <c r="C19" s="70">
        <v>0</v>
      </c>
      <c r="D19" s="71">
        <v>0</v>
      </c>
      <c r="E19" s="70">
        <v>5.566</v>
      </c>
      <c r="F19" s="71">
        <v>2.087</v>
      </c>
      <c r="G19" s="70">
        <v>5.703352</v>
      </c>
      <c r="H19" s="71">
        <v>2.138757</v>
      </c>
      <c r="I19" s="47">
        <v>5.326608</v>
      </c>
      <c r="J19" s="9">
        <v>1.997478</v>
      </c>
      <c r="K19" s="9">
        <v>4.04</v>
      </c>
      <c r="L19" s="9">
        <v>1.515</v>
      </c>
      <c r="M19" s="9">
        <v>4.44</v>
      </c>
      <c r="N19" s="9">
        <v>1.665</v>
      </c>
      <c r="O19" s="9">
        <v>0.856808</v>
      </c>
      <c r="P19" s="9">
        <f>0.160714+0.160714</f>
        <v>0.321428</v>
      </c>
      <c r="Q19" s="9">
        <f aca="true" t="shared" si="3" ref="Q19:Q24">+O19+M19+K19+I19+G19+E19+C19</f>
        <v>25.932768</v>
      </c>
      <c r="R19" s="9">
        <f>+P19+N19+L19+J19+H19+F19+D19</f>
        <v>9.724663</v>
      </c>
    </row>
    <row r="20" spans="1:18" ht="31.5">
      <c r="A20" s="103">
        <v>7</v>
      </c>
      <c r="B20" s="66" t="s">
        <v>26</v>
      </c>
      <c r="C20" s="70">
        <v>0</v>
      </c>
      <c r="D20" s="71">
        <v>0</v>
      </c>
      <c r="E20" s="70">
        <v>0</v>
      </c>
      <c r="F20" s="71">
        <v>0</v>
      </c>
      <c r="G20" s="70">
        <v>0</v>
      </c>
      <c r="H20" s="71">
        <v>0</v>
      </c>
      <c r="I20" s="47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f t="shared" si="3"/>
        <v>0</v>
      </c>
      <c r="R20" s="9">
        <f>+P20+N20+L20+J20+H20+F20+D20</f>
        <v>0</v>
      </c>
    </row>
    <row r="21" spans="1:18" ht="14.25">
      <c r="A21" s="103">
        <v>8</v>
      </c>
      <c r="B21" s="66" t="s">
        <v>27</v>
      </c>
      <c r="C21" s="70">
        <v>0</v>
      </c>
      <c r="D21" s="71">
        <v>0</v>
      </c>
      <c r="E21" s="70">
        <v>0.075</v>
      </c>
      <c r="F21" s="71">
        <v>0.038</v>
      </c>
      <c r="G21" s="70">
        <v>0.135</v>
      </c>
      <c r="H21" s="71">
        <v>0.068</v>
      </c>
      <c r="I21" s="47">
        <v>0.135</v>
      </c>
      <c r="J21" s="9">
        <v>0.068</v>
      </c>
      <c r="K21" s="9">
        <v>0.134</v>
      </c>
      <c r="L21" s="9">
        <v>0.067</v>
      </c>
      <c r="M21" s="9">
        <v>0.134</v>
      </c>
      <c r="N21" s="9">
        <v>0.067</v>
      </c>
      <c r="O21" s="9">
        <v>0.137</v>
      </c>
      <c r="P21" s="9">
        <v>0.0685</v>
      </c>
      <c r="Q21" s="9">
        <f t="shared" si="3"/>
        <v>0.75</v>
      </c>
      <c r="R21" s="9">
        <f>+P21+N21+L21+J21+H21+F21+D21-0.002</f>
        <v>0.3745</v>
      </c>
    </row>
    <row r="22" spans="1:18" ht="52.5">
      <c r="A22" s="103">
        <v>9</v>
      </c>
      <c r="B22" s="66" t="s">
        <v>28</v>
      </c>
      <c r="C22" s="70">
        <v>0</v>
      </c>
      <c r="D22" s="71">
        <v>0</v>
      </c>
      <c r="E22" s="70">
        <v>0</v>
      </c>
      <c r="F22" s="71">
        <v>0</v>
      </c>
      <c r="G22" s="70">
        <v>0</v>
      </c>
      <c r="H22" s="71">
        <v>0</v>
      </c>
      <c r="I22" s="47">
        <v>0</v>
      </c>
      <c r="J22" s="9">
        <v>0</v>
      </c>
      <c r="K22" s="9">
        <v>0</v>
      </c>
      <c r="L22" s="9">
        <v>0</v>
      </c>
      <c r="M22" s="9">
        <v>0.084</v>
      </c>
      <c r="N22" s="9">
        <v>0.031</v>
      </c>
      <c r="O22" s="9">
        <v>0.181</v>
      </c>
      <c r="P22" s="9">
        <v>0.067</v>
      </c>
      <c r="Q22" s="9">
        <f t="shared" si="3"/>
        <v>0.265</v>
      </c>
      <c r="R22" s="9">
        <f>+P22+N22+L22+J22+H22+F22+D22+0.002</f>
        <v>0.1</v>
      </c>
    </row>
    <row r="23" spans="1:18" ht="21">
      <c r="A23" s="103">
        <v>10</v>
      </c>
      <c r="B23" s="66" t="s">
        <v>29</v>
      </c>
      <c r="C23" s="70">
        <v>0</v>
      </c>
      <c r="D23" s="71">
        <v>0</v>
      </c>
      <c r="E23" s="70">
        <v>0</v>
      </c>
      <c r="F23" s="71">
        <v>0</v>
      </c>
      <c r="G23" s="70">
        <v>0</v>
      </c>
      <c r="H23" s="71">
        <v>0</v>
      </c>
      <c r="I23" s="47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f t="shared" si="3"/>
        <v>0</v>
      </c>
      <c r="R23" s="9">
        <f>+P23+N23+L23+J23+H23+F23+D23</f>
        <v>0</v>
      </c>
    </row>
    <row r="24" spans="1:18" ht="31.5">
      <c r="A24" s="103">
        <v>11</v>
      </c>
      <c r="B24" s="66" t="s">
        <v>30</v>
      </c>
      <c r="C24" s="70">
        <v>0</v>
      </c>
      <c r="D24" s="71">
        <v>0</v>
      </c>
      <c r="E24" s="70">
        <v>0</v>
      </c>
      <c r="F24" s="71">
        <v>0</v>
      </c>
      <c r="G24" s="70">
        <v>0.79808897</v>
      </c>
      <c r="H24" s="71">
        <v>0.29529291</v>
      </c>
      <c r="I24" s="47">
        <f>3.310345-0.221</f>
        <v>3.089345</v>
      </c>
      <c r="J24" s="9">
        <f>1.225641-0.082</f>
        <v>1.143641</v>
      </c>
      <c r="K24" s="9">
        <f>0.738+0.879+0.376</f>
        <v>1.9929999999999999</v>
      </c>
      <c r="L24" s="9">
        <v>0.738</v>
      </c>
      <c r="M24" s="9">
        <v>1.866</v>
      </c>
      <c r="N24" s="9">
        <v>0.691</v>
      </c>
      <c r="O24" s="9">
        <v>1.974</v>
      </c>
      <c r="P24" s="9">
        <v>0.732</v>
      </c>
      <c r="Q24" s="9">
        <f t="shared" si="3"/>
        <v>9.72043397</v>
      </c>
      <c r="R24" s="9">
        <f>+P24+N24+L24+J24+H24+F24+D24</f>
        <v>3.5999339100000003</v>
      </c>
    </row>
    <row r="25" spans="1:18" ht="21">
      <c r="A25" s="103">
        <v>12</v>
      </c>
      <c r="B25" s="66" t="s">
        <v>31</v>
      </c>
      <c r="C25" s="70">
        <v>0</v>
      </c>
      <c r="D25" s="71">
        <v>0</v>
      </c>
      <c r="E25" s="70">
        <v>2.208</v>
      </c>
      <c r="F25" s="71">
        <v>0.816</v>
      </c>
      <c r="G25" s="70">
        <v>1.318378</v>
      </c>
      <c r="H25" s="71">
        <v>0.487536</v>
      </c>
      <c r="I25" s="47">
        <v>2.427469</v>
      </c>
      <c r="J25" s="9">
        <v>0.899038</v>
      </c>
      <c r="K25" s="9">
        <v>2.107</v>
      </c>
      <c r="L25" s="9">
        <v>0.779</v>
      </c>
      <c r="M25" s="9">
        <v>2.607</v>
      </c>
      <c r="N25" s="9">
        <v>0.964</v>
      </c>
      <c r="O25" s="9">
        <v>4.072</v>
      </c>
      <c r="P25" s="9">
        <v>1.506</v>
      </c>
      <c r="Q25" s="9">
        <f>+O25+M25+K25+I25+G25+E25+C25+0.001</f>
        <v>14.740847000000002</v>
      </c>
      <c r="R25" s="9">
        <f>+P25+N25+L25+J25+H25+F25+D25</f>
        <v>5.451574</v>
      </c>
    </row>
    <row r="26" spans="1:19" ht="21">
      <c r="A26" s="103">
        <v>13</v>
      </c>
      <c r="B26" s="66" t="s">
        <v>32</v>
      </c>
      <c r="C26" s="70">
        <v>0</v>
      </c>
      <c r="D26" s="71">
        <v>0</v>
      </c>
      <c r="E26" s="70">
        <f>11.662-0.34</f>
        <v>11.322000000000001</v>
      </c>
      <c r="F26" s="71">
        <f>E26/2</f>
        <v>5.6610000000000005</v>
      </c>
      <c r="G26" s="70">
        <v>16.95335428</v>
      </c>
      <c r="H26" s="71">
        <f>G26/2</f>
        <v>8.47667714</v>
      </c>
      <c r="I26" s="47">
        <f>1.784+0.136</f>
        <v>1.92</v>
      </c>
      <c r="J26" s="9">
        <f>I26/2</f>
        <v>0.96</v>
      </c>
      <c r="K26" s="9">
        <v>15.75</v>
      </c>
      <c r="L26" s="9">
        <v>7.875</v>
      </c>
      <c r="M26" s="9">
        <v>15.484</v>
      </c>
      <c r="N26" s="9">
        <v>7.742</v>
      </c>
      <c r="O26" s="9">
        <v>16.381128</v>
      </c>
      <c r="P26" s="9">
        <f>7.064314+1.12625</f>
        <v>8.190564</v>
      </c>
      <c r="Q26" s="9">
        <f>O26+M26+K26+I26+G26+E26+C26</f>
        <v>77.81048228</v>
      </c>
      <c r="R26" s="9">
        <f>P26+N26+L26+J26+H26+F26+D26</f>
        <v>38.90524114</v>
      </c>
      <c r="S26" s="10"/>
    </row>
    <row r="27" spans="1:21" ht="14.25">
      <c r="A27" s="103"/>
      <c r="B27" s="66" t="s">
        <v>5</v>
      </c>
      <c r="C27" s="70">
        <v>31.308</v>
      </c>
      <c r="D27" s="71">
        <f>+C27/2</f>
        <v>15.654</v>
      </c>
      <c r="E27" s="70">
        <f>0.614+1.408</f>
        <v>2.022</v>
      </c>
      <c r="F27" s="71">
        <f>+E27/2</f>
        <v>1.011</v>
      </c>
      <c r="G27" s="70">
        <v>0.75170132</v>
      </c>
      <c r="H27" s="71">
        <f>G27/2</f>
        <v>0.37585066</v>
      </c>
      <c r="I27" s="47">
        <f>14.226152+0.022</f>
        <v>14.248152000000001</v>
      </c>
      <c r="J27" s="9">
        <f>I27/2</f>
        <v>7.1240760000000005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f>O27+M27+K27+I27+G27+E27+C27</f>
        <v>48.32985332</v>
      </c>
      <c r="R27" s="9">
        <f>P27+N27+L27+J27+H27+F27+D27</f>
        <v>24.16492666</v>
      </c>
      <c r="S27" s="10"/>
      <c r="T27" s="10"/>
      <c r="U27" s="10"/>
    </row>
    <row r="28" spans="1:18" ht="31.5">
      <c r="A28" s="103">
        <v>14</v>
      </c>
      <c r="B28" s="66" t="s">
        <v>33</v>
      </c>
      <c r="C28" s="70">
        <v>0</v>
      </c>
      <c r="D28" s="71">
        <v>0</v>
      </c>
      <c r="E28" s="70">
        <f>4.147-0.201</f>
        <v>3.946</v>
      </c>
      <c r="F28" s="71">
        <f>2.074-0.101</f>
        <v>1.9729999999999999</v>
      </c>
      <c r="G28" s="70">
        <v>6.531303</v>
      </c>
      <c r="H28" s="71">
        <v>3.265652</v>
      </c>
      <c r="I28" s="47">
        <v>4.6</v>
      </c>
      <c r="J28" s="9">
        <v>2.3</v>
      </c>
      <c r="K28" s="9">
        <v>5.432</v>
      </c>
      <c r="L28" s="9">
        <v>2.716</v>
      </c>
      <c r="M28" s="9">
        <v>5.442</v>
      </c>
      <c r="N28" s="9">
        <v>2.721</v>
      </c>
      <c r="O28" s="9">
        <v>4.409819</v>
      </c>
      <c r="P28" s="9">
        <f>+O28/2-0.001</f>
        <v>2.2039095</v>
      </c>
      <c r="Q28" s="9">
        <f>SUM(C28+E28+G28+I28+K28+M28+O28)</f>
        <v>30.361122</v>
      </c>
      <c r="R28" s="9">
        <f>SUM(D28+F28+H28+J28+L28+N28+P28)</f>
        <v>15.1795615</v>
      </c>
    </row>
    <row r="29" spans="1:18" ht="52.5">
      <c r="A29" s="103" t="s">
        <v>8</v>
      </c>
      <c r="B29" s="66" t="s">
        <v>34</v>
      </c>
      <c r="C29" s="70">
        <v>0</v>
      </c>
      <c r="D29" s="71">
        <v>0</v>
      </c>
      <c r="E29" s="70">
        <v>0</v>
      </c>
      <c r="F29" s="71">
        <v>0</v>
      </c>
      <c r="G29" s="70">
        <v>0</v>
      </c>
      <c r="H29" s="71">
        <v>0</v>
      </c>
      <c r="I29" s="47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f>+O29+M29+K29+I29+G29+E29+C29</f>
        <v>0</v>
      </c>
      <c r="R29" s="9">
        <f>+P29+N29+L29+J29+H29+F29+D29</f>
        <v>0</v>
      </c>
    </row>
    <row r="30" spans="1:20" ht="52.5">
      <c r="A30" s="103" t="s">
        <v>36</v>
      </c>
      <c r="B30" s="66" t="s">
        <v>35</v>
      </c>
      <c r="C30" s="70">
        <f>SUM(C31:C32)</f>
        <v>0</v>
      </c>
      <c r="D30" s="71">
        <f aca="true" t="shared" si="4" ref="D30:O30">SUM(D31:D32)</f>
        <v>0</v>
      </c>
      <c r="E30" s="70">
        <f t="shared" si="4"/>
        <v>1.163</v>
      </c>
      <c r="F30" s="71">
        <f t="shared" si="4"/>
        <v>0.465</v>
      </c>
      <c r="G30" s="70">
        <f t="shared" si="4"/>
        <v>2.67668857</v>
      </c>
      <c r="H30" s="71">
        <f>SUM(H31:H32)</f>
        <v>1.0226837999999998</v>
      </c>
      <c r="I30" s="47">
        <f t="shared" si="4"/>
        <v>2.802</v>
      </c>
      <c r="J30" s="9">
        <f>SUM(J31:J32)+0.001</f>
        <v>1.0379999999999998</v>
      </c>
      <c r="K30" s="9">
        <f t="shared" si="4"/>
        <v>3.066</v>
      </c>
      <c r="L30" s="9">
        <f t="shared" si="4"/>
        <v>1.135</v>
      </c>
      <c r="M30" s="9">
        <f t="shared" si="4"/>
        <v>3.703</v>
      </c>
      <c r="N30" s="9">
        <f>SUM(N31:N32)+0.001</f>
        <v>1.3719999999999999</v>
      </c>
      <c r="O30" s="9">
        <f t="shared" si="4"/>
        <v>6.1080000000000005</v>
      </c>
      <c r="P30" s="9">
        <f>SUM(P31:P32)</f>
        <v>2.197</v>
      </c>
      <c r="Q30" s="9">
        <f>+O30+M30+K30+I30+G30+E30+C30-0.002</f>
        <v>19.51668857</v>
      </c>
      <c r="R30" s="9">
        <f>+P30+N30+L30+J30+H30+F30+D30-0.002</f>
        <v>7.2276837999999985</v>
      </c>
      <c r="T30" s="10"/>
    </row>
    <row r="31" spans="1:18" ht="42">
      <c r="A31" s="103" t="s">
        <v>9</v>
      </c>
      <c r="B31" s="66" t="s">
        <v>38</v>
      </c>
      <c r="C31" s="70"/>
      <c r="D31" s="71"/>
      <c r="E31" s="70">
        <v>0</v>
      </c>
      <c r="F31" s="71">
        <v>0</v>
      </c>
      <c r="G31" s="70">
        <v>0.86010658</v>
      </c>
      <c r="H31" s="71">
        <v>0.29948906</v>
      </c>
      <c r="I31" s="47">
        <f>0.555+0.729+0.312</f>
        <v>1.596</v>
      </c>
      <c r="J31" s="9">
        <v>0.555</v>
      </c>
      <c r="K31" s="9">
        <f>0.607+0.798+0.342</f>
        <v>1.747</v>
      </c>
      <c r="L31" s="9">
        <v>0.607</v>
      </c>
      <c r="M31" s="9">
        <f>0.733+0.963+0.413</f>
        <v>2.109</v>
      </c>
      <c r="N31" s="9">
        <v>0.733</v>
      </c>
      <c r="O31" s="9">
        <v>4.807</v>
      </c>
      <c r="P31" s="9">
        <v>1.673</v>
      </c>
      <c r="Q31" s="9">
        <f>+O31+M31+K31+I31+G31+E31+C31</f>
        <v>11.11910658</v>
      </c>
      <c r="R31" s="9">
        <f>+P31+N31+L31+J31+H31+F31+D31</f>
        <v>3.86748906</v>
      </c>
    </row>
    <row r="32" spans="1:18" ht="21">
      <c r="A32" s="103" t="s">
        <v>10</v>
      </c>
      <c r="B32" s="66" t="s">
        <v>37</v>
      </c>
      <c r="C32" s="70"/>
      <c r="D32" s="71"/>
      <c r="E32" s="70">
        <v>1.163</v>
      </c>
      <c r="F32" s="71">
        <v>0.465</v>
      </c>
      <c r="G32" s="70">
        <v>1.81658199</v>
      </c>
      <c r="H32" s="71">
        <v>0.72319474</v>
      </c>
      <c r="I32" s="47">
        <f>0.482+0.507+0.217</f>
        <v>1.206</v>
      </c>
      <c r="J32" s="9">
        <v>0.482</v>
      </c>
      <c r="K32" s="9">
        <f>0.528+0.554+0.237</f>
        <v>1.319</v>
      </c>
      <c r="L32" s="9">
        <v>0.528</v>
      </c>
      <c r="M32" s="9">
        <f>0.638+0.669+0.287</f>
        <v>1.5939999999999999</v>
      </c>
      <c r="N32" s="9">
        <v>0.638</v>
      </c>
      <c r="O32" s="9">
        <v>1.301</v>
      </c>
      <c r="P32" s="9">
        <v>0.524</v>
      </c>
      <c r="Q32" s="9">
        <f>+O32+M32+K32+I32+G32+E32+C32</f>
        <v>8.39958199</v>
      </c>
      <c r="R32" s="9">
        <f>+P32+N32+L32+J32+H32+F32+D32</f>
        <v>3.3601947399999994</v>
      </c>
    </row>
    <row r="33" spans="1:18" ht="14.25">
      <c r="A33" s="103"/>
      <c r="B33" s="66" t="s">
        <v>53</v>
      </c>
      <c r="C33" s="70"/>
      <c r="D33" s="71">
        <v>2.119</v>
      </c>
      <c r="E33" s="70"/>
      <c r="F33" s="71"/>
      <c r="G33" s="70"/>
      <c r="H33" s="71"/>
      <c r="I33" s="47"/>
      <c r="J33" s="9"/>
      <c r="K33" s="9"/>
      <c r="L33" s="9"/>
      <c r="M33" s="9"/>
      <c r="N33" s="9"/>
      <c r="O33" s="9"/>
      <c r="P33" s="9">
        <v>-2.119</v>
      </c>
      <c r="Q33" s="9"/>
      <c r="R33" s="9">
        <f>+P33+N33+L33+J33+H33+F33+D33+0</f>
        <v>0</v>
      </c>
    </row>
    <row r="34" spans="1:18" s="16" customFormat="1" ht="15" thickBot="1">
      <c r="A34" s="104"/>
      <c r="B34" s="67" t="s">
        <v>4</v>
      </c>
      <c r="C34" s="72">
        <f>SUM(C30+C29+C28+C27+C26+C25+C24+C23+C22+C21+C20+C19+C18+C15+C12+C11+C10+C9+C8)</f>
        <v>31.308</v>
      </c>
      <c r="D34" s="73">
        <f>SUM(D30+D29+D28+D27+D26+D25+D24+D23+D22+D21+D20+D19+D18+D15+D12+D11+D10+D9+D8)+D33</f>
        <v>17.773</v>
      </c>
      <c r="E34" s="72">
        <f>SUM(E30+E29+E28+E27+E26+E25+E24+E23+E22+E21+E20+E19+E18+E15+E12+E11+E10+E9+E8)</f>
        <v>29.750999999999998</v>
      </c>
      <c r="F34" s="73">
        <f>SUM(F30+F29+F28+F27+F26+F25+F24+F23+F22+F21+F20+F19+F18+F15+F12+F11+F10+F9+F8)+0.001</f>
        <v>13.298000000000002</v>
      </c>
      <c r="G34" s="72">
        <f>SUM(G30+G29+G28+G27+G26+G25+G24+G23+G22+G21+G20+G19+G18+G15+G12+G11+G10+G9+G8)+0.001</f>
        <v>40.14616201</v>
      </c>
      <c r="H34" s="73">
        <f>SUM(H30+H29+H28+H27+H26+H25+H24+H23+H22+H21+H20+H19+H18+H15+H12+H11+H10+H9+H8)</f>
        <v>18.153940170000002</v>
      </c>
      <c r="I34" s="74">
        <f>SUM(I30+I29+I28+I27+I26+I25+I24+I23+I22+I21+I20+I19+I18+I15+I12+I11+I10+I9+I8)+0.001</f>
        <v>41.05939167</v>
      </c>
      <c r="J34" s="12">
        <f>SUM(J30+J29+J28+J27+J26+J25+J24+J23+J22+J21+J20+J19+J18+J15+J12+J11+J10+J9+J8)-0.001</f>
        <v>17.946198</v>
      </c>
      <c r="K34" s="12">
        <f>SUM(K30+K29+K28+K27+K26+K25+K24+K23+K22+K21+K20+K19+K18+K15+K12+K11+K10+K9+K8)-0</f>
        <v>39.577</v>
      </c>
      <c r="L34" s="12">
        <f>SUM(L30+L29+L28+L27+L26+L25+L24+L23+L22+L21+L20+L19+L18+L15+L12+L11+L10+L9+L8)</f>
        <v>17.32</v>
      </c>
      <c r="M34" s="12">
        <f>SUM(M30+M29+M28+M27+M26+M25+M24+M23+M22+M21+M20+M19+M18+M15+M12+M11+M10+M9+M8)</f>
        <v>40.70700000000001</v>
      </c>
      <c r="N34" s="12">
        <f>SUM(N30+N29+N28+N27+N26+N25+N24+N23+N22+N21+N20+N19+N18+N15+N12+N11+N10+N9+N8)</f>
        <v>17.710000000000004</v>
      </c>
      <c r="O34" s="12">
        <f>SUM(O30+O29+O28+O27+O26+O25+O24+O23+O22+O21+O20+O19+O18+O15+O12+O11+O10+O9+O8)-0.004</f>
        <v>43.381755000000005</v>
      </c>
      <c r="P34" s="12">
        <f>SUM(P30+P29+P28+P27+P26+P25+P24+P23+P22+P21+P20+P19+P18+P15+P12+P11+P10+P9+P8)+0.004+P33</f>
        <v>16.469401499999996</v>
      </c>
      <c r="Q34" s="12">
        <f>SUM(C34+E34+G34+I34+K34+M34+O34)-0.006</f>
        <v>265.92430868</v>
      </c>
      <c r="R34" s="12">
        <f>SUM(D34+F34+H34+J34+L34+N34+P34)-0.001</f>
        <v>118.66953967</v>
      </c>
    </row>
    <row r="35" spans="2:18" ht="12.75">
      <c r="B35" s="6"/>
      <c r="C35" s="24"/>
      <c r="D35" s="24"/>
      <c r="E35" s="17"/>
      <c r="F35" s="21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36"/>
    </row>
    <row r="36" ht="12.75">
      <c r="A36" s="26" t="s">
        <v>45</v>
      </c>
    </row>
    <row r="37" ht="12.75">
      <c r="B37" s="18"/>
    </row>
    <row r="38" spans="3:4" ht="12.75">
      <c r="C38" s="25"/>
      <c r="D38" s="25"/>
    </row>
    <row r="39" ht="12.75">
      <c r="C39" s="25"/>
    </row>
    <row r="40" ht="12.75">
      <c r="C40" s="25"/>
    </row>
  </sheetData>
  <mergeCells count="16">
    <mergeCell ref="C5:D5"/>
    <mergeCell ref="E5:F5"/>
    <mergeCell ref="G5:H5"/>
    <mergeCell ref="I5:J5"/>
    <mergeCell ref="K5:L5"/>
    <mergeCell ref="M5:N5"/>
    <mergeCell ref="O5:P5"/>
    <mergeCell ref="Q5:R5"/>
    <mergeCell ref="C6:D6"/>
    <mergeCell ref="E6:F6"/>
    <mergeCell ref="G6:H6"/>
    <mergeCell ref="I6:J6"/>
    <mergeCell ref="K6:L6"/>
    <mergeCell ref="M6:N6"/>
    <mergeCell ref="O6:P6"/>
    <mergeCell ref="Q6:R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57" r:id="rId1"/>
  <headerFooter alignWithMargins="0">
    <oddHeader>&amp;CPSR 2000-2006</oddHeader>
    <oddFooter>&amp;C&amp;"Arial Narrow,Normale"&amp;10&amp;F&amp;R&amp;A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U36"/>
  <sheetViews>
    <sheetView showGridLines="0" showZeros="0" workbookViewId="0" topLeftCell="A5">
      <pane ySplit="3" topLeftCell="BM8" activePane="bottomLeft" state="frozen"/>
      <selection pane="topLeft" activeCell="D15" sqref="D15"/>
      <selection pane="bottomLeft" activeCell="D15" sqref="D15"/>
    </sheetView>
  </sheetViews>
  <sheetFormatPr defaultColWidth="9.140625" defaultRowHeight="12"/>
  <cols>
    <col min="1" max="1" width="6.8515625" style="1" customWidth="1"/>
    <col min="2" max="2" width="30.00390625" style="1" customWidth="1"/>
    <col min="3" max="3" width="10.57421875" style="93" customWidth="1"/>
    <col min="4" max="4" width="13.140625" style="93" customWidth="1"/>
    <col min="5" max="5" width="10.00390625" style="83" customWidth="1"/>
    <col min="6" max="6" width="12.8515625" style="84" customWidth="1"/>
    <col min="7" max="7" width="10.00390625" style="83" customWidth="1"/>
    <col min="8" max="8" width="12.8515625" style="83" customWidth="1"/>
    <col min="9" max="18" width="10.00390625" style="5" customWidth="1"/>
    <col min="19" max="16384" width="9.140625" style="1" customWidth="1"/>
  </cols>
  <sheetData>
    <row r="1" spans="1:6" ht="15">
      <c r="A1" s="4" t="s">
        <v>46</v>
      </c>
      <c r="E1" s="95"/>
      <c r="F1" s="96"/>
    </row>
    <row r="2" ht="15">
      <c r="A2" s="4"/>
    </row>
    <row r="3" ht="15">
      <c r="A3" s="35" t="s">
        <v>49</v>
      </c>
    </row>
    <row r="4" spans="5:6" ht="15.75" thickBot="1">
      <c r="E4" s="85"/>
      <c r="F4" s="86"/>
    </row>
    <row r="5" spans="1:18" s="28" customFormat="1" ht="14.25">
      <c r="A5" s="106"/>
      <c r="B5" s="105"/>
      <c r="C5" s="143" t="s">
        <v>6</v>
      </c>
      <c r="D5" s="148"/>
      <c r="E5" s="143" t="s">
        <v>6</v>
      </c>
      <c r="F5" s="144"/>
      <c r="G5" s="148" t="s">
        <v>6</v>
      </c>
      <c r="H5" s="144"/>
      <c r="I5" s="141" t="s">
        <v>6</v>
      </c>
      <c r="J5" s="141"/>
      <c r="K5" s="140" t="s">
        <v>6</v>
      </c>
      <c r="L5" s="141"/>
      <c r="M5" s="140" t="s">
        <v>6</v>
      </c>
      <c r="N5" s="141"/>
      <c r="O5" s="140" t="s">
        <v>6</v>
      </c>
      <c r="P5" s="142"/>
      <c r="Q5" s="141" t="s">
        <v>1</v>
      </c>
      <c r="R5" s="142"/>
    </row>
    <row r="6" spans="1:18" s="2" customFormat="1" ht="14.25">
      <c r="A6" s="99"/>
      <c r="B6" s="100" t="s">
        <v>0</v>
      </c>
      <c r="C6" s="138">
        <v>2000</v>
      </c>
      <c r="D6" s="147"/>
      <c r="E6" s="138">
        <v>2001</v>
      </c>
      <c r="F6" s="139"/>
      <c r="G6" s="147">
        <v>2002</v>
      </c>
      <c r="H6" s="139"/>
      <c r="I6" s="135">
        <v>2003</v>
      </c>
      <c r="J6" s="137"/>
      <c r="K6" s="135">
        <v>2004</v>
      </c>
      <c r="L6" s="135"/>
      <c r="M6" s="136">
        <v>2005</v>
      </c>
      <c r="N6" s="137"/>
      <c r="O6" s="136">
        <v>2006</v>
      </c>
      <c r="P6" s="137"/>
      <c r="Q6" s="145"/>
      <c r="R6" s="146"/>
    </row>
    <row r="7" spans="1:18" ht="28.5">
      <c r="A7" s="101"/>
      <c r="B7" s="102"/>
      <c r="C7" s="68" t="s">
        <v>2</v>
      </c>
      <c r="D7" s="87" t="s">
        <v>42</v>
      </c>
      <c r="E7" s="68" t="s">
        <v>2</v>
      </c>
      <c r="F7" s="69" t="s">
        <v>42</v>
      </c>
      <c r="G7" s="88" t="s">
        <v>2</v>
      </c>
      <c r="H7" s="69" t="s">
        <v>42</v>
      </c>
      <c r="I7" s="108" t="s">
        <v>2</v>
      </c>
      <c r="J7" s="109" t="s">
        <v>42</v>
      </c>
      <c r="K7" s="109" t="s">
        <v>2</v>
      </c>
      <c r="L7" s="109" t="s">
        <v>42</v>
      </c>
      <c r="M7" s="109" t="s">
        <v>2</v>
      </c>
      <c r="N7" s="109" t="s">
        <v>42</v>
      </c>
      <c r="O7" s="109" t="s">
        <v>2</v>
      </c>
      <c r="P7" s="109" t="s">
        <v>42</v>
      </c>
      <c r="Q7" s="109" t="s">
        <v>2</v>
      </c>
      <c r="R7" s="109" t="s">
        <v>42</v>
      </c>
    </row>
    <row r="8" spans="1:19" s="5" customFormat="1" ht="21">
      <c r="A8" s="103">
        <v>1</v>
      </c>
      <c r="B8" s="66" t="s">
        <v>14</v>
      </c>
      <c r="C8" s="70">
        <v>0</v>
      </c>
      <c r="D8" s="89">
        <v>0</v>
      </c>
      <c r="E8" s="70">
        <f>4.366-0.057</f>
        <v>4.308999999999999</v>
      </c>
      <c r="F8" s="71">
        <f>0.412-0.005</f>
        <v>0.407</v>
      </c>
      <c r="G8" s="90">
        <v>5.923</v>
      </c>
      <c r="H8" s="71">
        <v>0.55404569</v>
      </c>
      <c r="I8" s="47">
        <v>6.906</v>
      </c>
      <c r="J8" s="9">
        <v>0.5816</v>
      </c>
      <c r="K8" s="9">
        <f>9.905-1</f>
        <v>8.905</v>
      </c>
      <c r="L8" s="9">
        <f>+K8*0.09</f>
        <v>0.8014499999999999</v>
      </c>
      <c r="M8" s="9">
        <f>9.859-1</f>
        <v>8.859</v>
      </c>
      <c r="N8" s="9">
        <f>+M8*0.09</f>
        <v>0.79731</v>
      </c>
      <c r="O8" s="9">
        <f>10.098-1</f>
        <v>9.098</v>
      </c>
      <c r="P8" s="9">
        <f>+O8*0.09</f>
        <v>0.81882</v>
      </c>
      <c r="Q8" s="9">
        <f>+O8+M8+K8+I8+G8+E8+C8</f>
        <v>44</v>
      </c>
      <c r="R8" s="9">
        <f>+P8+N8+L8+J8+H8+F8+D8</f>
        <v>3.96022569</v>
      </c>
      <c r="S8" s="10"/>
    </row>
    <row r="9" spans="1:18" ht="21">
      <c r="A9" s="103">
        <v>2</v>
      </c>
      <c r="B9" s="66" t="s">
        <v>15</v>
      </c>
      <c r="C9" s="70">
        <v>0</v>
      </c>
      <c r="D9" s="89">
        <v>0</v>
      </c>
      <c r="E9" s="70">
        <v>0.575</v>
      </c>
      <c r="F9" s="71">
        <f>+E9*0.15</f>
        <v>0.08625</v>
      </c>
      <c r="G9" s="90">
        <v>1.498</v>
      </c>
      <c r="H9" s="71">
        <f>+G9*0.15</f>
        <v>0.22469999999999998</v>
      </c>
      <c r="I9" s="47">
        <v>1.12</v>
      </c>
      <c r="J9" s="9">
        <f>+I9*0.15</f>
        <v>0.168</v>
      </c>
      <c r="K9" s="9">
        <v>0.883</v>
      </c>
      <c r="L9" s="9">
        <f>+K9*0.15</f>
        <v>0.13244999999999998</v>
      </c>
      <c r="M9" s="9">
        <v>0.886</v>
      </c>
      <c r="N9" s="9">
        <f>+M9*0.15</f>
        <v>0.1329</v>
      </c>
      <c r="O9" s="9">
        <v>0.891</v>
      </c>
      <c r="P9" s="9">
        <f>+O9*0.15</f>
        <v>0.13365</v>
      </c>
      <c r="Q9" s="9">
        <f>+O9+M9+K9+I9+G9+E9+C9-0.001</f>
        <v>5.852</v>
      </c>
      <c r="R9" s="9">
        <f>+P9+N9+L9+J9+H9+F9+D9</f>
        <v>0.87795</v>
      </c>
    </row>
    <row r="10" spans="1:18" ht="14.25">
      <c r="A10" s="103">
        <v>3</v>
      </c>
      <c r="B10" s="66" t="s">
        <v>16</v>
      </c>
      <c r="C10" s="70">
        <v>0</v>
      </c>
      <c r="D10" s="89">
        <v>0</v>
      </c>
      <c r="E10" s="70">
        <v>0</v>
      </c>
      <c r="F10" s="71">
        <v>0</v>
      </c>
      <c r="G10" s="90">
        <v>0</v>
      </c>
      <c r="H10" s="71">
        <v>0</v>
      </c>
      <c r="I10" s="47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f>+O10+M10+K10+I10+G10+E10+C10</f>
        <v>0</v>
      </c>
      <c r="R10" s="9">
        <f>+P10+N10+L10+J10+H10+F10+D10</f>
        <v>0</v>
      </c>
    </row>
    <row r="11" spans="1:18" ht="21">
      <c r="A11" s="103">
        <v>4</v>
      </c>
      <c r="B11" s="66" t="s">
        <v>17</v>
      </c>
      <c r="C11" s="70">
        <v>0</v>
      </c>
      <c r="D11" s="89">
        <v>0</v>
      </c>
      <c r="E11" s="70">
        <v>0</v>
      </c>
      <c r="F11" s="71">
        <f>+E11*0.161</f>
        <v>0</v>
      </c>
      <c r="G11" s="90">
        <v>0</v>
      </c>
      <c r="H11" s="71">
        <v>0</v>
      </c>
      <c r="I11" s="47">
        <v>0</v>
      </c>
      <c r="J11" s="9">
        <v>0</v>
      </c>
      <c r="K11" s="9">
        <v>0</v>
      </c>
      <c r="L11" s="9">
        <f>+K11*0.161</f>
        <v>0</v>
      </c>
      <c r="M11" s="9">
        <v>0</v>
      </c>
      <c r="N11" s="9">
        <f>+M11*0.161</f>
        <v>0</v>
      </c>
      <c r="O11" s="9">
        <v>0</v>
      </c>
      <c r="P11" s="9">
        <f>+O11*0.161</f>
        <v>0</v>
      </c>
      <c r="Q11" s="9">
        <f>+O11+M11+K11+I11+G11+E11+C11</f>
        <v>0</v>
      </c>
      <c r="R11" s="9">
        <f>+P11+N11+L11+J11+H11+F11+D11</f>
        <v>0</v>
      </c>
    </row>
    <row r="12" spans="1:19" s="5" customFormat="1" ht="42">
      <c r="A12" s="103" t="s">
        <v>21</v>
      </c>
      <c r="B12" s="66" t="s">
        <v>39</v>
      </c>
      <c r="C12" s="70">
        <v>0</v>
      </c>
      <c r="D12" s="89">
        <v>0</v>
      </c>
      <c r="E12" s="70">
        <f>SUM(E13:E14)</f>
        <v>1.778</v>
      </c>
      <c r="F12" s="71">
        <f aca="true" t="shared" si="0" ref="F12:P12">SUM(F13:F14)</f>
        <v>0.155</v>
      </c>
      <c r="G12" s="90">
        <f t="shared" si="0"/>
        <v>1.16</v>
      </c>
      <c r="H12" s="71">
        <f t="shared" si="0"/>
        <v>0.11062500000000001</v>
      </c>
      <c r="I12" s="47">
        <f t="shared" si="0"/>
        <v>2.86</v>
      </c>
      <c r="J12" s="9">
        <f t="shared" si="0"/>
        <v>0.32630000000000003</v>
      </c>
      <c r="K12" s="9">
        <f t="shared" si="0"/>
        <v>3.153</v>
      </c>
      <c r="L12" s="9">
        <f t="shared" si="0"/>
        <v>0.35127</v>
      </c>
      <c r="M12" s="9">
        <f t="shared" si="0"/>
        <v>2.947</v>
      </c>
      <c r="N12" s="9">
        <f t="shared" si="0"/>
        <v>0.33273</v>
      </c>
      <c r="O12" s="9">
        <f t="shared" si="0"/>
        <v>4.462</v>
      </c>
      <c r="P12" s="9">
        <f t="shared" si="0"/>
        <v>0.600705</v>
      </c>
      <c r="Q12" s="9">
        <f aca="true" t="shared" si="1" ref="Q12:R15">SUM(O12+M12+K12+I12+G12+E12)</f>
        <v>16.36</v>
      </c>
      <c r="R12" s="9">
        <f t="shared" si="1"/>
        <v>1.87663</v>
      </c>
      <c r="S12" s="10"/>
    </row>
    <row r="13" spans="1:18" s="5" customFormat="1" ht="21">
      <c r="A13" s="103" t="s">
        <v>22</v>
      </c>
      <c r="B13" s="66" t="s">
        <v>24</v>
      </c>
      <c r="C13" s="70"/>
      <c r="D13" s="89"/>
      <c r="E13" s="70">
        <v>1.778</v>
      </c>
      <c r="F13" s="71">
        <v>0.155</v>
      </c>
      <c r="G13" s="90">
        <v>1.115</v>
      </c>
      <c r="H13" s="71">
        <f>0.516*0.2</f>
        <v>0.10320000000000001</v>
      </c>
      <c r="I13" s="47">
        <v>1.96</v>
      </c>
      <c r="J13" s="9">
        <f>0.894*0.2-0.001</f>
        <v>0.1778</v>
      </c>
      <c r="K13" s="9">
        <v>2.253</v>
      </c>
      <c r="L13" s="9">
        <f>+K13*0.09</f>
        <v>0.20277</v>
      </c>
      <c r="M13" s="9">
        <v>2.047</v>
      </c>
      <c r="N13" s="9">
        <f>+M13*0.09</f>
        <v>0.18423</v>
      </c>
      <c r="O13" s="9">
        <v>1.807</v>
      </c>
      <c r="P13" s="9">
        <f>+O13*0.09</f>
        <v>0.16263</v>
      </c>
      <c r="Q13" s="9">
        <f t="shared" si="1"/>
        <v>10.96</v>
      </c>
      <c r="R13" s="9">
        <f t="shared" si="1"/>
        <v>0.98563</v>
      </c>
    </row>
    <row r="14" spans="1:19" s="5" customFormat="1" ht="42">
      <c r="A14" s="103" t="s">
        <v>23</v>
      </c>
      <c r="B14" s="66" t="s">
        <v>40</v>
      </c>
      <c r="C14" s="70"/>
      <c r="D14" s="89"/>
      <c r="E14" s="70">
        <v>0</v>
      </c>
      <c r="F14" s="71">
        <v>0</v>
      </c>
      <c r="G14" s="90">
        <v>0.045</v>
      </c>
      <c r="H14" s="71">
        <f>+G14*0.165</f>
        <v>0.007425</v>
      </c>
      <c r="I14" s="47">
        <f>0.9</f>
        <v>0.9</v>
      </c>
      <c r="J14" s="9">
        <f>+I14*0.165</f>
        <v>0.14850000000000002</v>
      </c>
      <c r="K14" s="9">
        <f>0.9</f>
        <v>0.9</v>
      </c>
      <c r="L14" s="9">
        <f>+K14*0.165</f>
        <v>0.14850000000000002</v>
      </c>
      <c r="M14" s="9">
        <f>0.9</f>
        <v>0.9</v>
      </c>
      <c r="N14" s="9">
        <f>+M14*0.165</f>
        <v>0.14850000000000002</v>
      </c>
      <c r="O14" s="9">
        <v>2.655</v>
      </c>
      <c r="P14" s="9">
        <f>+O14*0.165</f>
        <v>0.438075</v>
      </c>
      <c r="Q14" s="9">
        <f t="shared" si="1"/>
        <v>5.4</v>
      </c>
      <c r="R14" s="9">
        <f t="shared" si="1"/>
        <v>0.8910000000000002</v>
      </c>
      <c r="S14" s="10"/>
    </row>
    <row r="15" spans="1:19" ht="52.5">
      <c r="A15" s="103" t="s">
        <v>11</v>
      </c>
      <c r="B15" s="66" t="s">
        <v>18</v>
      </c>
      <c r="C15" s="70">
        <v>0</v>
      </c>
      <c r="D15" s="89">
        <v>0</v>
      </c>
      <c r="E15" s="70">
        <f aca="true" t="shared" si="2" ref="E15:P15">SUM(E16:E17)</f>
        <v>0.125</v>
      </c>
      <c r="F15" s="71">
        <f t="shared" si="2"/>
        <v>0.013425</v>
      </c>
      <c r="G15" s="90">
        <f t="shared" si="2"/>
        <v>1.075</v>
      </c>
      <c r="H15" s="71">
        <f>SUM(H16:H17)+0.001</f>
        <v>0.08792499999999999</v>
      </c>
      <c r="I15" s="47">
        <f t="shared" si="2"/>
        <v>0.9446666666666667</v>
      </c>
      <c r="J15" s="9">
        <f>SUM(J16:J17)-0.002</f>
        <v>0.09037</v>
      </c>
      <c r="K15" s="9">
        <f t="shared" si="2"/>
        <v>0.9</v>
      </c>
      <c r="L15" s="9">
        <f t="shared" si="2"/>
        <v>0.084</v>
      </c>
      <c r="M15" s="9">
        <f t="shared" si="2"/>
        <v>0.9</v>
      </c>
      <c r="N15" s="9">
        <f t="shared" si="2"/>
        <v>0.084</v>
      </c>
      <c r="O15" s="9">
        <f t="shared" si="2"/>
        <v>1.455</v>
      </c>
      <c r="P15" s="9">
        <f t="shared" si="2"/>
        <v>0.144225</v>
      </c>
      <c r="Q15" s="9">
        <f t="shared" si="1"/>
        <v>5.399666666666667</v>
      </c>
      <c r="R15" s="9">
        <f t="shared" si="1"/>
        <v>0.503945</v>
      </c>
      <c r="S15" s="13"/>
    </row>
    <row r="16" spans="1:18" ht="52.5">
      <c r="A16" s="103" t="s">
        <v>12</v>
      </c>
      <c r="B16" s="66" t="s">
        <v>19</v>
      </c>
      <c r="C16" s="70"/>
      <c r="D16" s="89"/>
      <c r="E16" s="70">
        <v>0.08</v>
      </c>
      <c r="F16" s="71">
        <f>+E16*0.075</f>
        <v>0.006</v>
      </c>
      <c r="G16" s="90">
        <v>1.005</v>
      </c>
      <c r="H16" s="71">
        <f>+G16*0.075</f>
        <v>0.07537499999999998</v>
      </c>
      <c r="I16" s="47">
        <f>0.9*4.3/5.4</f>
        <v>0.7166666666666667</v>
      </c>
      <c r="J16" s="9">
        <f>+I16*0.075</f>
        <v>0.05375</v>
      </c>
      <c r="K16" s="9">
        <f>0.9*4.3/5.4</f>
        <v>0.7166666666666667</v>
      </c>
      <c r="L16" s="9">
        <f>+K16*0.075</f>
        <v>0.05375</v>
      </c>
      <c r="M16" s="9">
        <f>0.9*4.3/5.4</f>
        <v>0.7166666666666667</v>
      </c>
      <c r="N16" s="9">
        <f>+M16*0.075</f>
        <v>0.05375</v>
      </c>
      <c r="O16" s="9">
        <v>1.065</v>
      </c>
      <c r="P16" s="9">
        <f>+O16*0.075</f>
        <v>0.07987499999999999</v>
      </c>
      <c r="Q16" s="9">
        <f>SUM(O16+M16+K16+I16+G16+E16)</f>
        <v>4.300000000000001</v>
      </c>
      <c r="R16" s="9">
        <f>SUM(P16+N16+L16+J16+H16+F16)+0.001</f>
        <v>0.32349999999999995</v>
      </c>
    </row>
    <row r="17" spans="1:18" ht="63">
      <c r="A17" s="103" t="s">
        <v>13</v>
      </c>
      <c r="B17" s="66" t="s">
        <v>20</v>
      </c>
      <c r="C17" s="70"/>
      <c r="D17" s="89"/>
      <c r="E17" s="70">
        <v>0.045</v>
      </c>
      <c r="F17" s="71">
        <f>+E17*0.165</f>
        <v>0.007425</v>
      </c>
      <c r="G17" s="90">
        <v>0.07</v>
      </c>
      <c r="H17" s="71">
        <f>+G17*0.165</f>
        <v>0.011550000000000001</v>
      </c>
      <c r="I17" s="47">
        <v>0.228</v>
      </c>
      <c r="J17" s="9">
        <f>+I17*0.165+0.001</f>
        <v>0.03862</v>
      </c>
      <c r="K17" s="9">
        <f>0.9*1.1/5.4</f>
        <v>0.18333333333333335</v>
      </c>
      <c r="L17" s="9">
        <f>+K17*0.165</f>
        <v>0.030250000000000003</v>
      </c>
      <c r="M17" s="9">
        <f>0.9*1.1/5.4</f>
        <v>0.18333333333333335</v>
      </c>
      <c r="N17" s="9">
        <f>+M17*0.165</f>
        <v>0.030250000000000003</v>
      </c>
      <c r="O17" s="9">
        <v>0.39</v>
      </c>
      <c r="P17" s="9">
        <f>+O17*0.165</f>
        <v>0.06435</v>
      </c>
      <c r="Q17" s="9">
        <f>SUM(O17+M17+K17+I17+G17+E17)</f>
        <v>1.0996666666666666</v>
      </c>
      <c r="R17" s="9">
        <f>SUM(P17+N17+L17+J17+H17+F17)</f>
        <v>0.182445</v>
      </c>
    </row>
    <row r="18" spans="1:18" ht="31.5">
      <c r="A18" s="103"/>
      <c r="B18" s="66" t="s">
        <v>7</v>
      </c>
      <c r="C18" s="70">
        <v>0</v>
      </c>
      <c r="D18" s="89">
        <v>0</v>
      </c>
      <c r="E18" s="70">
        <f>0.642-0.642</f>
        <v>0</v>
      </c>
      <c r="F18" s="71">
        <v>0</v>
      </c>
      <c r="G18" s="90">
        <v>0</v>
      </c>
      <c r="H18" s="71">
        <v>0</v>
      </c>
      <c r="I18" s="47">
        <v>0.4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0.6</v>
      </c>
      <c r="P18" s="9">
        <v>0</v>
      </c>
      <c r="Q18" s="9">
        <f aca="true" t="shared" si="3" ref="Q18:R23">+O18+M18+K18+I18+G18+E18+C18</f>
        <v>1</v>
      </c>
      <c r="R18" s="9">
        <f t="shared" si="3"/>
        <v>0</v>
      </c>
    </row>
    <row r="19" spans="1:18" ht="42">
      <c r="A19" s="103">
        <v>6</v>
      </c>
      <c r="B19" s="66" t="s">
        <v>25</v>
      </c>
      <c r="C19" s="70">
        <v>0</v>
      </c>
      <c r="D19" s="89">
        <v>0</v>
      </c>
      <c r="E19" s="70">
        <v>13.916</v>
      </c>
      <c r="F19" s="71">
        <f>+E19*0.075</f>
        <v>1.0437</v>
      </c>
      <c r="G19" s="90">
        <v>14.258</v>
      </c>
      <c r="H19" s="71">
        <f>+G19*0.075</f>
        <v>1.0693499999999998</v>
      </c>
      <c r="I19" s="47">
        <v>13.319</v>
      </c>
      <c r="J19" s="9">
        <f>+I19*0.075</f>
        <v>0.9989250000000001</v>
      </c>
      <c r="K19" s="9">
        <v>10.1</v>
      </c>
      <c r="L19" s="9">
        <f>+K19*0.075</f>
        <v>0.7575</v>
      </c>
      <c r="M19" s="9">
        <v>11.1</v>
      </c>
      <c r="N19" s="9">
        <f>+M19*0.075</f>
        <v>0.8324999999999999</v>
      </c>
      <c r="O19" s="9">
        <v>2.14</v>
      </c>
      <c r="P19" s="9">
        <f>+O19*0.075</f>
        <v>0.1605</v>
      </c>
      <c r="Q19" s="9">
        <f t="shared" si="3"/>
        <v>64.833</v>
      </c>
      <c r="R19" s="9">
        <f t="shared" si="3"/>
        <v>4.862475</v>
      </c>
    </row>
    <row r="20" spans="1:18" ht="31.5">
      <c r="A20" s="103">
        <v>7</v>
      </c>
      <c r="B20" s="66" t="s">
        <v>26</v>
      </c>
      <c r="C20" s="70">
        <v>0</v>
      </c>
      <c r="D20" s="89">
        <v>0</v>
      </c>
      <c r="E20" s="70">
        <v>0</v>
      </c>
      <c r="F20" s="71">
        <v>0</v>
      </c>
      <c r="G20" s="90">
        <v>0</v>
      </c>
      <c r="H20" s="71">
        <f>+G20*0.151</f>
        <v>0</v>
      </c>
      <c r="I20" s="47">
        <v>0</v>
      </c>
      <c r="J20" s="9">
        <f>+I20*0.151</f>
        <v>0</v>
      </c>
      <c r="K20" s="9">
        <v>0</v>
      </c>
      <c r="L20" s="9">
        <f>+K20*0.151</f>
        <v>0</v>
      </c>
      <c r="M20" s="9">
        <v>0</v>
      </c>
      <c r="N20" s="9">
        <f>+M20*0.151</f>
        <v>0</v>
      </c>
      <c r="O20" s="9">
        <v>0</v>
      </c>
      <c r="P20" s="9">
        <f>+O20*0.151</f>
        <v>0</v>
      </c>
      <c r="Q20" s="9">
        <f t="shared" si="3"/>
        <v>0</v>
      </c>
      <c r="R20" s="9">
        <f t="shared" si="3"/>
        <v>0</v>
      </c>
    </row>
    <row r="21" spans="1:18" ht="14.25">
      <c r="A21" s="103">
        <v>8</v>
      </c>
      <c r="B21" s="66" t="s">
        <v>27</v>
      </c>
      <c r="C21" s="70">
        <v>0</v>
      </c>
      <c r="D21" s="89">
        <v>0</v>
      </c>
      <c r="E21" s="70">
        <v>0.075</v>
      </c>
      <c r="F21" s="71">
        <f>+E21*0.15</f>
        <v>0.01125</v>
      </c>
      <c r="G21" s="90">
        <v>0.135</v>
      </c>
      <c r="H21" s="71">
        <f>+G21*0.15</f>
        <v>0.02025</v>
      </c>
      <c r="I21" s="47">
        <v>0.134</v>
      </c>
      <c r="J21" s="9">
        <f>+I21*0.15</f>
        <v>0.0201</v>
      </c>
      <c r="K21" s="9">
        <v>0.134</v>
      </c>
      <c r="L21" s="9">
        <f>+K21*0.15</f>
        <v>0.0201</v>
      </c>
      <c r="M21" s="9">
        <v>0.134</v>
      </c>
      <c r="N21" s="9">
        <f>+M21*0.15</f>
        <v>0.0201</v>
      </c>
      <c r="O21" s="9">
        <v>0.137</v>
      </c>
      <c r="P21" s="9">
        <f>+O21*0.15</f>
        <v>0.020550000000000002</v>
      </c>
      <c r="Q21" s="9">
        <f>+O21+M21+K21+I21+G21+E21+C21+0.001</f>
        <v>0.75</v>
      </c>
      <c r="R21" s="9">
        <f>+P21+N21+L21+J21+H21+F21+D21+0.001</f>
        <v>0.11335</v>
      </c>
    </row>
    <row r="22" spans="1:18" ht="52.5">
      <c r="A22" s="103">
        <v>9</v>
      </c>
      <c r="B22" s="66" t="s">
        <v>28</v>
      </c>
      <c r="C22" s="70">
        <v>0</v>
      </c>
      <c r="D22" s="89">
        <v>0</v>
      </c>
      <c r="E22" s="70">
        <v>0</v>
      </c>
      <c r="F22" s="71">
        <v>0</v>
      </c>
      <c r="G22" s="90">
        <v>0</v>
      </c>
      <c r="H22" s="71">
        <f>+G22*0.095</f>
        <v>0</v>
      </c>
      <c r="I22" s="47">
        <v>0</v>
      </c>
      <c r="J22" s="9">
        <f>+I22*0.095</f>
        <v>0</v>
      </c>
      <c r="K22" s="9">
        <v>0</v>
      </c>
      <c r="L22" s="9">
        <f>+K22*0.095</f>
        <v>0</v>
      </c>
      <c r="M22" s="9">
        <v>0.168</v>
      </c>
      <c r="N22" s="9">
        <f>+M22*0.095</f>
        <v>0.015960000000000002</v>
      </c>
      <c r="O22" s="9">
        <v>0.362</v>
      </c>
      <c r="P22" s="9">
        <f>+O22*0.095</f>
        <v>0.03439</v>
      </c>
      <c r="Q22" s="9">
        <f t="shared" si="3"/>
        <v>0.53</v>
      </c>
      <c r="R22" s="9">
        <f t="shared" si="3"/>
        <v>0.05035</v>
      </c>
    </row>
    <row r="23" spans="1:18" ht="21">
      <c r="A23" s="103">
        <v>10</v>
      </c>
      <c r="B23" s="66" t="s">
        <v>29</v>
      </c>
      <c r="C23" s="70">
        <v>0</v>
      </c>
      <c r="D23" s="89">
        <v>0</v>
      </c>
      <c r="E23" s="70">
        <v>0</v>
      </c>
      <c r="F23" s="71">
        <v>0</v>
      </c>
      <c r="G23" s="90">
        <v>0</v>
      </c>
      <c r="H23" s="71">
        <f>+G23*0.151</f>
        <v>0</v>
      </c>
      <c r="I23" s="47">
        <v>0</v>
      </c>
      <c r="J23" s="9">
        <f>+I23*0.151</f>
        <v>0</v>
      </c>
      <c r="K23" s="9">
        <v>0</v>
      </c>
      <c r="L23" s="9">
        <f>+K23*0.151</f>
        <v>0</v>
      </c>
      <c r="M23" s="9">
        <v>0</v>
      </c>
      <c r="N23" s="9">
        <f>+M23*0.151</f>
        <v>0</v>
      </c>
      <c r="O23" s="9">
        <v>0</v>
      </c>
      <c r="P23" s="9">
        <f>+O23*0.151</f>
        <v>0</v>
      </c>
      <c r="Q23" s="9">
        <f t="shared" si="3"/>
        <v>0</v>
      </c>
      <c r="R23" s="9">
        <f t="shared" si="3"/>
        <v>0</v>
      </c>
    </row>
    <row r="24" spans="1:18" ht="31.5">
      <c r="A24" s="103">
        <v>11</v>
      </c>
      <c r="B24" s="66" t="s">
        <v>30</v>
      </c>
      <c r="C24" s="70">
        <v>0</v>
      </c>
      <c r="D24" s="89">
        <v>0</v>
      </c>
      <c r="E24" s="70">
        <v>0</v>
      </c>
      <c r="F24" s="71">
        <f>+E24*0.151</f>
        <v>0</v>
      </c>
      <c r="G24" s="90">
        <v>0.998</v>
      </c>
      <c r="H24" s="71">
        <f>+G24*0.151</f>
        <v>0.150698</v>
      </c>
      <c r="I24" s="47">
        <v>3.863</v>
      </c>
      <c r="J24" s="9">
        <f>+I24*0.151</f>
        <v>0.583313</v>
      </c>
      <c r="K24" s="9">
        <v>2.491</v>
      </c>
      <c r="L24" s="9">
        <f>+K24*0.151</f>
        <v>0.376141</v>
      </c>
      <c r="M24" s="9">
        <v>2.333</v>
      </c>
      <c r="N24" s="9">
        <f>+M24*0.151</f>
        <v>0.352283</v>
      </c>
      <c r="O24" s="9">
        <v>2.466</v>
      </c>
      <c r="P24" s="9">
        <f>+O24*0.151</f>
        <v>0.37236600000000003</v>
      </c>
      <c r="Q24" s="9">
        <f>+O24+M24+K24+I24+G24+E24+C24-0.001</f>
        <v>12.15</v>
      </c>
      <c r="R24" s="9">
        <f>+P24+N24+L24+J24+H24+F24+D24+0.001</f>
        <v>1.835801</v>
      </c>
    </row>
    <row r="25" spans="1:18" ht="21">
      <c r="A25" s="103">
        <v>12</v>
      </c>
      <c r="B25" s="66" t="s">
        <v>31</v>
      </c>
      <c r="C25" s="70">
        <v>0</v>
      </c>
      <c r="D25" s="89">
        <v>0</v>
      </c>
      <c r="E25" s="70">
        <v>2.76</v>
      </c>
      <c r="F25" s="71">
        <v>0.417</v>
      </c>
      <c r="G25" s="90">
        <v>1.791</v>
      </c>
      <c r="H25" s="71">
        <v>0.24904163</v>
      </c>
      <c r="I25" s="47">
        <v>4.898</v>
      </c>
      <c r="J25" s="9">
        <f>+I25*0.119-0.186+0.061</f>
        <v>0.457862</v>
      </c>
      <c r="K25" s="9">
        <v>3.343</v>
      </c>
      <c r="L25" s="9">
        <f>+K25*0.119</f>
        <v>0.397817</v>
      </c>
      <c r="M25" s="9">
        <v>4.137</v>
      </c>
      <c r="N25" s="9">
        <f>+M25*0.119</f>
        <v>0.49230299999999994</v>
      </c>
      <c r="O25" s="9">
        <v>6.47</v>
      </c>
      <c r="P25" s="9">
        <f>+O25*0.119</f>
        <v>0.7699299999999999</v>
      </c>
      <c r="Q25" s="9">
        <f>+O25+M25+K25+I25+G25+E25+C25</f>
        <v>23.399</v>
      </c>
      <c r="R25" s="9">
        <f>+P25+N25+L25+J25+H25+F25+D25</f>
        <v>2.783953629999999</v>
      </c>
    </row>
    <row r="26" spans="1:19" s="5" customFormat="1" ht="21">
      <c r="A26" s="103">
        <v>13</v>
      </c>
      <c r="B26" s="66" t="s">
        <v>32</v>
      </c>
      <c r="C26" s="70">
        <v>0</v>
      </c>
      <c r="D26" s="89">
        <v>0</v>
      </c>
      <c r="E26" s="70">
        <f>11.662-0.34</f>
        <v>11.322000000000001</v>
      </c>
      <c r="F26" s="71">
        <v>0</v>
      </c>
      <c r="G26" s="90">
        <v>16.95335428</v>
      </c>
      <c r="H26" s="71">
        <v>0</v>
      </c>
      <c r="I26" s="47">
        <f>1.784+0.136</f>
        <v>1.92</v>
      </c>
      <c r="J26" s="9">
        <v>0</v>
      </c>
      <c r="K26" s="9">
        <v>15.75</v>
      </c>
      <c r="L26" s="9">
        <v>0</v>
      </c>
      <c r="M26" s="9">
        <v>15.484</v>
      </c>
      <c r="N26" s="9">
        <v>0</v>
      </c>
      <c r="O26" s="9">
        <v>16.381</v>
      </c>
      <c r="P26" s="9">
        <v>0</v>
      </c>
      <c r="Q26" s="9">
        <f>O26+M26+K26+I26+G26+E26+C26</f>
        <v>77.81035428000001</v>
      </c>
      <c r="R26" s="9">
        <f>P26+N26+L26+J26+H26+F26+D26</f>
        <v>0</v>
      </c>
      <c r="S26" s="10"/>
    </row>
    <row r="27" spans="1:21" s="5" customFormat="1" ht="14.25">
      <c r="A27" s="103"/>
      <c r="B27" s="66" t="s">
        <v>5</v>
      </c>
      <c r="C27" s="70">
        <v>31.308</v>
      </c>
      <c r="D27" s="89">
        <v>0</v>
      </c>
      <c r="E27" s="70">
        <f>0.614+1.408</f>
        <v>2.022</v>
      </c>
      <c r="F27" s="71">
        <v>0</v>
      </c>
      <c r="G27" s="90">
        <v>0.75170132</v>
      </c>
      <c r="H27" s="71">
        <v>0</v>
      </c>
      <c r="I27" s="47">
        <f>14.226+0.022</f>
        <v>14.248000000000001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f>O27+M27+K27+I27+G27+E27+C27</f>
        <v>48.32970132</v>
      </c>
      <c r="R27" s="9">
        <f>P27+N27+L27+J27+H27+F27+D27</f>
        <v>0</v>
      </c>
      <c r="S27" s="10"/>
      <c r="T27" s="10"/>
      <c r="U27" s="10"/>
    </row>
    <row r="28" spans="1:18" ht="31.5">
      <c r="A28" s="103">
        <v>14</v>
      </c>
      <c r="B28" s="66" t="s">
        <v>33</v>
      </c>
      <c r="C28" s="70">
        <v>0</v>
      </c>
      <c r="D28" s="89">
        <v>0</v>
      </c>
      <c r="E28" s="70">
        <f>4.147-0.201</f>
        <v>3.946</v>
      </c>
      <c r="F28" s="71">
        <v>0</v>
      </c>
      <c r="G28" s="90">
        <v>6.531</v>
      </c>
      <c r="H28" s="71">
        <v>0</v>
      </c>
      <c r="I28" s="47">
        <v>4.6</v>
      </c>
      <c r="J28" s="9">
        <v>0</v>
      </c>
      <c r="K28" s="9">
        <v>5.432</v>
      </c>
      <c r="L28" s="9">
        <v>0</v>
      </c>
      <c r="M28" s="9">
        <v>5.442</v>
      </c>
      <c r="N28" s="9">
        <v>0</v>
      </c>
      <c r="O28" s="9">
        <v>4.41</v>
      </c>
      <c r="P28" s="9">
        <v>0</v>
      </c>
      <c r="Q28" s="9">
        <f>SUM(C28+E28+G28+I28+K28+M28+O28)</f>
        <v>30.361</v>
      </c>
      <c r="R28" s="9">
        <f>SUM(D28+F28+H28+J28+L28+N28+P28)</f>
        <v>0</v>
      </c>
    </row>
    <row r="29" spans="1:18" ht="52.5">
      <c r="A29" s="103" t="s">
        <v>8</v>
      </c>
      <c r="B29" s="66" t="s">
        <v>34</v>
      </c>
      <c r="C29" s="70">
        <v>0</v>
      </c>
      <c r="D29" s="89">
        <v>0</v>
      </c>
      <c r="E29" s="70">
        <v>0</v>
      </c>
      <c r="F29" s="71">
        <v>0</v>
      </c>
      <c r="G29" s="90">
        <v>0</v>
      </c>
      <c r="H29" s="71">
        <f>+G29*0.095</f>
        <v>0</v>
      </c>
      <c r="I29" s="47">
        <v>0</v>
      </c>
      <c r="J29" s="9">
        <f>+I29*0.095</f>
        <v>0</v>
      </c>
      <c r="K29" s="9">
        <v>0</v>
      </c>
      <c r="L29" s="9">
        <f>+K29*0.095</f>
        <v>0</v>
      </c>
      <c r="M29" s="9">
        <v>0</v>
      </c>
      <c r="N29" s="9">
        <f>+M29*0.095</f>
        <v>0</v>
      </c>
      <c r="O29" s="9">
        <v>0</v>
      </c>
      <c r="P29" s="9">
        <f>+O29*0.095</f>
        <v>0</v>
      </c>
      <c r="Q29" s="9">
        <f>+O29+M29+K29+I29+G29+E29+C29</f>
        <v>0</v>
      </c>
      <c r="R29" s="9">
        <f>+P29+N29+L29+J29+H29+F29+D29</f>
        <v>0</v>
      </c>
    </row>
    <row r="30" spans="1:20" ht="52.5">
      <c r="A30" s="103" t="s">
        <v>36</v>
      </c>
      <c r="B30" s="66" t="s">
        <v>35</v>
      </c>
      <c r="C30" s="70">
        <f>SUM(C31:C32)</f>
        <v>0</v>
      </c>
      <c r="D30" s="89">
        <f aca="true" t="shared" si="4" ref="D30:P30">SUM(D31:D32)</f>
        <v>0</v>
      </c>
      <c r="E30" s="70">
        <f t="shared" si="4"/>
        <v>2.908</v>
      </c>
      <c r="F30" s="71">
        <f t="shared" si="4"/>
        <v>0.20937599999999998</v>
      </c>
      <c r="G30" s="90">
        <f t="shared" si="4"/>
        <v>5.5520000000000005</v>
      </c>
      <c r="H30" s="71">
        <f t="shared" si="4"/>
        <v>0.49478900000000003</v>
      </c>
      <c r="I30" s="47">
        <f t="shared" si="4"/>
        <v>4.89160759545585</v>
      </c>
      <c r="J30" s="9">
        <f t="shared" si="4"/>
        <v>0.5295727469138334</v>
      </c>
      <c r="K30" s="9">
        <f t="shared" si="4"/>
        <v>5.3484929664110235</v>
      </c>
      <c r="L30" s="9">
        <f t="shared" si="4"/>
        <v>0.5789940437189844</v>
      </c>
      <c r="M30" s="9">
        <f t="shared" si="4"/>
        <v>6.463460935897961</v>
      </c>
      <c r="N30" s="9">
        <f t="shared" si="4"/>
        <v>0.7009018929582086</v>
      </c>
      <c r="O30" s="9">
        <f t="shared" si="4"/>
        <v>8.905000000000001</v>
      </c>
      <c r="P30" s="9">
        <f t="shared" si="4"/>
        <v>1.17326</v>
      </c>
      <c r="Q30" s="9">
        <f>+O30+M30+K30+I30+G30+E30+C30-0.001</f>
        <v>34.06756149776484</v>
      </c>
      <c r="R30" s="9">
        <f aca="true" t="shared" si="5" ref="Q30:R32">+P30+N30+L30+J30+H30+F30+D30</f>
        <v>3.6868936835910264</v>
      </c>
      <c r="T30" s="13"/>
    </row>
    <row r="31" spans="1:18" s="5" customFormat="1" ht="42">
      <c r="A31" s="103" t="s">
        <v>9</v>
      </c>
      <c r="B31" s="66" t="s">
        <v>38</v>
      </c>
      <c r="C31" s="70"/>
      <c r="D31" s="89"/>
      <c r="E31" s="70">
        <v>0</v>
      </c>
      <c r="F31" s="71">
        <f>+E31*0.166</f>
        <v>0</v>
      </c>
      <c r="G31" s="90">
        <v>1.011</v>
      </c>
      <c r="H31" s="71">
        <f>+G31*0.167-0.001</f>
        <v>0.167837</v>
      </c>
      <c r="I31" s="47">
        <f>13.068*3.501/24.383</f>
        <v>1.876351064266087</v>
      </c>
      <c r="J31" s="9">
        <f>+I31*0.166+0.001</f>
        <v>0.31247427666817046</v>
      </c>
      <c r="K31" s="9">
        <f>13.068*3.828/24.383</f>
        <v>2.051605790919903</v>
      </c>
      <c r="L31" s="9">
        <f>+K31*0.167-0.001</f>
        <v>0.3416181670836238</v>
      </c>
      <c r="M31" s="9">
        <f>13.068*4.626/24.383</f>
        <v>2.479291637616372</v>
      </c>
      <c r="N31" s="9">
        <f>+M31*0.167</f>
        <v>0.41404170348193414</v>
      </c>
      <c r="O31" s="9">
        <v>5.65</v>
      </c>
      <c r="P31" s="9">
        <f>+O31*0.166+0.001</f>
        <v>0.9389000000000001</v>
      </c>
      <c r="Q31" s="9">
        <f t="shared" si="5"/>
        <v>13.068248492802361</v>
      </c>
      <c r="R31" s="9">
        <f t="shared" si="5"/>
        <v>2.1748711472337283</v>
      </c>
    </row>
    <row r="32" spans="1:18" s="5" customFormat="1" ht="21">
      <c r="A32" s="103" t="s">
        <v>10</v>
      </c>
      <c r="B32" s="66" t="s">
        <v>37</v>
      </c>
      <c r="C32" s="70"/>
      <c r="D32" s="89"/>
      <c r="E32" s="70">
        <v>2.908</v>
      </c>
      <c r="F32" s="71">
        <f>+E32*0.072</f>
        <v>0.20937599999999998</v>
      </c>
      <c r="G32" s="90">
        <v>4.541</v>
      </c>
      <c r="H32" s="71">
        <f>+G32*0.072</f>
        <v>0.326952</v>
      </c>
      <c r="I32" s="47">
        <f>21*3.501/24.383</f>
        <v>3.0152565311897637</v>
      </c>
      <c r="J32" s="9">
        <f>+I32*0.072</f>
        <v>0.21709847024566298</v>
      </c>
      <c r="K32" s="9">
        <f>21*3.828/24.383</f>
        <v>3.2968871754911206</v>
      </c>
      <c r="L32" s="9">
        <f>+K32*0.072</f>
        <v>0.23737587663536067</v>
      </c>
      <c r="M32" s="9">
        <f>21*4.626/24.383</f>
        <v>3.9841692982815897</v>
      </c>
      <c r="N32" s="9">
        <f>+M32*0.072</f>
        <v>0.28686018947627445</v>
      </c>
      <c r="O32" s="9">
        <v>3.255</v>
      </c>
      <c r="P32" s="9">
        <f>+O32*0.072</f>
        <v>0.23435999999999998</v>
      </c>
      <c r="Q32" s="9">
        <f t="shared" si="5"/>
        <v>21.000313004962475</v>
      </c>
      <c r="R32" s="9">
        <f t="shared" si="5"/>
        <v>1.512022536357298</v>
      </c>
    </row>
    <row r="33" spans="1:18" s="4" customFormat="1" ht="15" thickBot="1">
      <c r="A33" s="104"/>
      <c r="B33" s="75" t="s">
        <v>4</v>
      </c>
      <c r="C33" s="72">
        <f>SUM(C30+C29+C28+C27+C26+C25+C24+C23+C22+C21+C20+C19+C18+C15+C12+C11+C10+C9+C8)</f>
        <v>31.308</v>
      </c>
      <c r="D33" s="91">
        <f>SUM(D30+D29+D28+D27+D26+D25+D24+D23+D22+D21+D20+D19+D18+D15+D12+D11+D10+D9+D8)</f>
        <v>0</v>
      </c>
      <c r="E33" s="72">
        <f>SUM(E30+E29+E28+E27+E26+E25+E24+E23+E22+E21+E20+E19+E18+E15+E12+E11+E10+E9+E8)</f>
        <v>43.736</v>
      </c>
      <c r="F33" s="73">
        <f>+F32+F31+F29+F28+F27+F26+F25+F24+F23+F22+F21+F20+F19+F18+F17+F16+F14+F13+F11+F10+F9+F8</f>
        <v>2.3430009999999997</v>
      </c>
      <c r="G33" s="92">
        <f>SUM(G30+G29+G28+G27+G26+G25+G24+G23+G22+G21+G20+G19+G18+G15+G12+G11+G10+G9+G8)</f>
        <v>56.626055599999994</v>
      </c>
      <c r="H33" s="73">
        <f>+H32+H31+H29+H28+H27+H26+H25+H24+H23+H22+H21+H20+H19+H18+H17+H16+H14+H13+H11+H10+H9+H8+0.002</f>
        <v>2.9624243199999998</v>
      </c>
      <c r="I33" s="74">
        <f>SUM(I30+I29+I28+I27+I26+I25+I24+I23+I22+I21+I20+I19+I18+I15+I12+I11+I10+I9+I8)-0.003</f>
        <v>60.10127426212252</v>
      </c>
      <c r="J33" s="12">
        <f>+J32+J31+J29+J28+J27+J26+J25+J24+J23+J22+J21+J20+J19+J18+J17+J16+J14+J13+J11+J10+J9+J8-0.002</f>
        <v>3.7560427469138333</v>
      </c>
      <c r="K33" s="12">
        <f>SUM(K30+K29+K28+K27+K26+K25+K24+K23+K22+K21+K20+K19+K18+K15+K12+K11+K10+K9+K8)</f>
        <v>56.43949296641103</v>
      </c>
      <c r="L33" s="12">
        <f>SUM(L30+L29+L28+L27+L26+L25+L24+L23+L22+L21+L20+L19+L18+L15+L12+L11+L10+L9+L8)-0.001</f>
        <v>3.4987220437189843</v>
      </c>
      <c r="M33" s="12">
        <f>SUM(M30+M29+M28+M27+M26+M25+M24+M23+M22+M21+M20+M19+M18+M15+M12+M11+M10+M9+M8)-0.001</f>
        <v>58.85246093589797</v>
      </c>
      <c r="N33" s="12">
        <f>SUM(N30+N29+N28+N27+N26+N25+N24+N23+N22+N21+N20+N19+N18+N15+N12+N11+N10+N9+N8)+0.001</f>
        <v>3.7619878929582082</v>
      </c>
      <c r="O33" s="12">
        <f>SUM(O30+O29+O28+O27+O26+O25+O24+O23+O22+O21+O20+O19+O18+O15+O12+O11+O10+O9+O8)</f>
        <v>57.77700000000001</v>
      </c>
      <c r="P33" s="12">
        <f>SUM(P30+P29+P28+P27+P26+P25+P24+P23+P22+P21+P20+P19+P18+P15+P12+P11+P10+P9+P8)</f>
        <v>4.228396</v>
      </c>
      <c r="Q33" s="12">
        <f>SUM(C33+E33+G33+I33+K33+M33+O33)-0.002</f>
        <v>364.8382837644315</v>
      </c>
      <c r="R33" s="12">
        <f>SUM(D33+F33+H33+J33+L33+N33+P33)-0.001</f>
        <v>20.549574003591026</v>
      </c>
    </row>
    <row r="34" spans="2:18" ht="15">
      <c r="B34" s="3"/>
      <c r="F34" s="94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6" spans="2:6" ht="15">
      <c r="B36" s="7"/>
      <c r="F36" s="94"/>
    </row>
  </sheetData>
  <mergeCells count="16">
    <mergeCell ref="C5:D5"/>
    <mergeCell ref="E5:F5"/>
    <mergeCell ref="G5:H5"/>
    <mergeCell ref="I5:J5"/>
    <mergeCell ref="K5:L5"/>
    <mergeCell ref="M5:N5"/>
    <mergeCell ref="O5:P5"/>
    <mergeCell ref="Q5:R5"/>
    <mergeCell ref="C6:D6"/>
    <mergeCell ref="E6:F6"/>
    <mergeCell ref="G6:H6"/>
    <mergeCell ref="I6:J6"/>
    <mergeCell ref="K6:L6"/>
    <mergeCell ref="M6:N6"/>
    <mergeCell ref="O6:P6"/>
    <mergeCell ref="Q6:R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0" r:id="rId1"/>
  <headerFooter alignWithMargins="0">
    <oddHeader>&amp;CPSR 2000-2006</oddHeader>
    <oddFooter>&amp;C&amp;"Arial Narrow,Normale"&amp;10&amp;F&amp;R&amp;A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AN36"/>
  <sheetViews>
    <sheetView showGridLines="0" showZeros="0" workbookViewId="0" topLeftCell="C5">
      <pane ySplit="3" topLeftCell="BM8" activePane="bottomLeft" state="frozen"/>
      <selection pane="topLeft" activeCell="D15" sqref="D15"/>
      <selection pane="bottomLeft" activeCell="D15" sqref="D15"/>
    </sheetView>
  </sheetViews>
  <sheetFormatPr defaultColWidth="9.140625" defaultRowHeight="12"/>
  <cols>
    <col min="1" max="1" width="6.8515625" style="1" customWidth="1"/>
    <col min="2" max="2" width="30.00390625" style="1" customWidth="1"/>
    <col min="3" max="3" width="10.7109375" style="78" customWidth="1"/>
    <col min="4" max="4" width="12.421875" style="78" customWidth="1"/>
    <col min="5" max="5" width="10.00390625" style="79" customWidth="1"/>
    <col min="6" max="6" width="13.00390625" style="80" customWidth="1"/>
    <col min="7" max="7" width="10.00390625" style="79" customWidth="1"/>
    <col min="8" max="8" width="12.57421875" style="79" customWidth="1"/>
    <col min="9" max="18" width="10.00390625" style="5" customWidth="1"/>
    <col min="19" max="40" width="9.140625" style="5" customWidth="1"/>
    <col min="41" max="16384" width="9.140625" style="1" customWidth="1"/>
  </cols>
  <sheetData>
    <row r="1" ht="15">
      <c r="A1" s="4" t="s">
        <v>46</v>
      </c>
    </row>
    <row r="2" ht="15">
      <c r="A2" s="4"/>
    </row>
    <row r="3" ht="15">
      <c r="A3" s="35" t="s">
        <v>50</v>
      </c>
    </row>
    <row r="4" ht="15.75" thickBot="1"/>
    <row r="5" spans="1:40" s="28" customFormat="1" ht="14.25">
      <c r="A5" s="106"/>
      <c r="B5" s="105"/>
      <c r="C5" s="143" t="s">
        <v>6</v>
      </c>
      <c r="D5" s="144"/>
      <c r="E5" s="143" t="s">
        <v>6</v>
      </c>
      <c r="F5" s="144"/>
      <c r="G5" s="143" t="s">
        <v>6</v>
      </c>
      <c r="H5" s="144"/>
      <c r="I5" s="141" t="s">
        <v>6</v>
      </c>
      <c r="J5" s="141"/>
      <c r="K5" s="140" t="s">
        <v>6</v>
      </c>
      <c r="L5" s="141"/>
      <c r="M5" s="140" t="s">
        <v>6</v>
      </c>
      <c r="N5" s="141"/>
      <c r="O5" s="140" t="s">
        <v>6</v>
      </c>
      <c r="P5" s="142"/>
      <c r="Q5" s="141" t="s">
        <v>1</v>
      </c>
      <c r="R5" s="142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</row>
    <row r="6" spans="1:40" s="2" customFormat="1" ht="14.25">
      <c r="A6" s="99"/>
      <c r="B6" s="100" t="s">
        <v>0</v>
      </c>
      <c r="C6" s="138">
        <v>2000</v>
      </c>
      <c r="D6" s="139"/>
      <c r="E6" s="138">
        <v>2001</v>
      </c>
      <c r="F6" s="139"/>
      <c r="G6" s="138">
        <v>2002</v>
      </c>
      <c r="H6" s="139"/>
      <c r="I6" s="135">
        <v>2003</v>
      </c>
      <c r="J6" s="137"/>
      <c r="K6" s="135">
        <v>2004</v>
      </c>
      <c r="L6" s="135"/>
      <c r="M6" s="136">
        <v>2005</v>
      </c>
      <c r="N6" s="137"/>
      <c r="O6" s="136">
        <v>2006</v>
      </c>
      <c r="P6" s="137"/>
      <c r="Q6" s="145"/>
      <c r="R6" s="146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18" ht="28.5">
      <c r="A7" s="101"/>
      <c r="B7" s="102"/>
      <c r="C7" s="68" t="s">
        <v>2</v>
      </c>
      <c r="D7" s="69" t="s">
        <v>43</v>
      </c>
      <c r="E7" s="68" t="s">
        <v>2</v>
      </c>
      <c r="F7" s="69" t="s">
        <v>43</v>
      </c>
      <c r="G7" s="68" t="s">
        <v>2</v>
      </c>
      <c r="H7" s="69" t="s">
        <v>43</v>
      </c>
      <c r="I7" s="108" t="s">
        <v>2</v>
      </c>
      <c r="J7" s="109" t="s">
        <v>43</v>
      </c>
      <c r="K7" s="109" t="s">
        <v>2</v>
      </c>
      <c r="L7" s="109" t="s">
        <v>43</v>
      </c>
      <c r="M7" s="109" t="s">
        <v>2</v>
      </c>
      <c r="N7" s="109" t="s">
        <v>43</v>
      </c>
      <c r="O7" s="109" t="s">
        <v>2</v>
      </c>
      <c r="P7" s="109" t="s">
        <v>43</v>
      </c>
      <c r="Q7" s="109" t="s">
        <v>2</v>
      </c>
      <c r="R7" s="109" t="s">
        <v>43</v>
      </c>
    </row>
    <row r="8" spans="1:19" s="5" customFormat="1" ht="21">
      <c r="A8" s="103">
        <v>1</v>
      </c>
      <c r="B8" s="66" t="s">
        <v>14</v>
      </c>
      <c r="C8" s="70">
        <v>0</v>
      </c>
      <c r="D8" s="71">
        <v>0</v>
      </c>
      <c r="E8" s="70">
        <f>4.366-0.057</f>
        <v>4.308999999999999</v>
      </c>
      <c r="F8" s="71">
        <f>0.962-0.013</f>
        <v>0.949</v>
      </c>
      <c r="G8" s="70">
        <v>5.923</v>
      </c>
      <c r="H8" s="71">
        <f>2.7702285-0.92331716-0.55404569</f>
        <v>1.29286565</v>
      </c>
      <c r="I8" s="47">
        <v>6.906</v>
      </c>
      <c r="J8" s="9">
        <f>+I8*0.21-0.094+0.001</f>
        <v>1.3572599999999997</v>
      </c>
      <c r="K8" s="9">
        <f>9.905-1</f>
        <v>8.905</v>
      </c>
      <c r="L8" s="9">
        <f>+K8*0.21</f>
        <v>1.8700499999999998</v>
      </c>
      <c r="M8" s="9">
        <f>9.859-1</f>
        <v>8.859</v>
      </c>
      <c r="N8" s="9">
        <f>+M8*0.21</f>
        <v>1.86039</v>
      </c>
      <c r="O8" s="9">
        <f>10.098-1</f>
        <v>9.098</v>
      </c>
      <c r="P8" s="9">
        <f>+O8*0.21</f>
        <v>1.9105800000000002</v>
      </c>
      <c r="Q8" s="9">
        <f aca="true" t="shared" si="0" ref="Q8:R11">+O8+M8+K8+I8+G8+E8+C8</f>
        <v>44</v>
      </c>
      <c r="R8" s="9">
        <f t="shared" si="0"/>
        <v>9.240145649999999</v>
      </c>
      <c r="S8" s="10"/>
    </row>
    <row r="9" spans="1:18" ht="21">
      <c r="A9" s="103">
        <v>2</v>
      </c>
      <c r="B9" s="66" t="s">
        <v>15</v>
      </c>
      <c r="C9" s="70">
        <v>0</v>
      </c>
      <c r="D9" s="71">
        <v>0</v>
      </c>
      <c r="E9" s="70">
        <v>0.575</v>
      </c>
      <c r="F9" s="71">
        <f>+E9*0.35</f>
        <v>0.20124999999999998</v>
      </c>
      <c r="G9" s="70">
        <v>1.498</v>
      </c>
      <c r="H9" s="71">
        <f>+G9*0.35</f>
        <v>0.5243</v>
      </c>
      <c r="I9" s="47">
        <v>1.12</v>
      </c>
      <c r="J9" s="9">
        <f>+I9*0.35</f>
        <v>0.392</v>
      </c>
      <c r="K9" s="9">
        <v>0.883</v>
      </c>
      <c r="L9" s="9">
        <f>+K9*0.35</f>
        <v>0.30905</v>
      </c>
      <c r="M9" s="9">
        <v>0.886</v>
      </c>
      <c r="N9" s="9">
        <f>+M9*0.35</f>
        <v>0.3101</v>
      </c>
      <c r="O9" s="9">
        <v>0.891</v>
      </c>
      <c r="P9" s="9">
        <f>+O9*0.35</f>
        <v>0.31184999999999996</v>
      </c>
      <c r="Q9" s="9">
        <f>+O9+M9+K9+I9+G9+E9+C9-0.001</f>
        <v>5.852</v>
      </c>
      <c r="R9" s="9">
        <f>+P9+N9+L9+J9+H9+F9+D9-0.001</f>
        <v>2.04755</v>
      </c>
    </row>
    <row r="10" spans="1:18" ht="14.25">
      <c r="A10" s="103">
        <v>3</v>
      </c>
      <c r="B10" s="66" t="s">
        <v>16</v>
      </c>
      <c r="C10" s="70">
        <v>0</v>
      </c>
      <c r="D10" s="71">
        <v>0</v>
      </c>
      <c r="E10" s="70">
        <v>0</v>
      </c>
      <c r="F10" s="71">
        <v>0</v>
      </c>
      <c r="G10" s="70">
        <v>0</v>
      </c>
      <c r="H10" s="71">
        <f>+G10*0.5</f>
        <v>0</v>
      </c>
      <c r="I10" s="47">
        <v>0</v>
      </c>
      <c r="J10" s="9">
        <f>+I10*0.5</f>
        <v>0</v>
      </c>
      <c r="K10" s="9">
        <v>0</v>
      </c>
      <c r="L10" s="9">
        <f>+K10*0.5</f>
        <v>0</v>
      </c>
      <c r="M10" s="9">
        <v>0</v>
      </c>
      <c r="N10" s="9">
        <f>+M10*0.5</f>
        <v>0</v>
      </c>
      <c r="O10" s="9">
        <v>0</v>
      </c>
      <c r="P10" s="9">
        <f>+O10*0.5</f>
        <v>0</v>
      </c>
      <c r="Q10" s="9">
        <f t="shared" si="0"/>
        <v>0</v>
      </c>
      <c r="R10" s="9">
        <f t="shared" si="0"/>
        <v>0</v>
      </c>
    </row>
    <row r="11" spans="1:18" ht="21">
      <c r="A11" s="103">
        <v>4</v>
      </c>
      <c r="B11" s="66" t="s">
        <v>17</v>
      </c>
      <c r="C11" s="70">
        <v>0</v>
      </c>
      <c r="D11" s="71">
        <v>0</v>
      </c>
      <c r="E11" s="70">
        <v>0</v>
      </c>
      <c r="F11" s="71">
        <f>+E11*0.375</f>
        <v>0</v>
      </c>
      <c r="G11" s="70">
        <v>0</v>
      </c>
      <c r="H11" s="71">
        <f>+G11*0.375</f>
        <v>0</v>
      </c>
      <c r="I11" s="47">
        <v>0</v>
      </c>
      <c r="J11" s="9">
        <f>+I11*0.375</f>
        <v>0</v>
      </c>
      <c r="K11" s="9">
        <v>0</v>
      </c>
      <c r="L11" s="9">
        <f>+K11*0.375</f>
        <v>0</v>
      </c>
      <c r="M11" s="9">
        <v>0</v>
      </c>
      <c r="N11" s="9">
        <f>+M11*0.375</f>
        <v>0</v>
      </c>
      <c r="O11" s="9">
        <v>0</v>
      </c>
      <c r="P11" s="9">
        <f>+O11*0.375</f>
        <v>0</v>
      </c>
      <c r="Q11" s="9">
        <f t="shared" si="0"/>
        <v>0</v>
      </c>
      <c r="R11" s="9">
        <f t="shared" si="0"/>
        <v>0</v>
      </c>
    </row>
    <row r="12" spans="1:19" s="5" customFormat="1" ht="42">
      <c r="A12" s="103" t="s">
        <v>21</v>
      </c>
      <c r="B12" s="66" t="s">
        <v>39</v>
      </c>
      <c r="C12" s="70">
        <v>0</v>
      </c>
      <c r="D12" s="71">
        <v>0</v>
      </c>
      <c r="E12" s="70">
        <f>SUM(E13:E14)</f>
        <v>1.778</v>
      </c>
      <c r="F12" s="71">
        <f aca="true" t="shared" si="1" ref="F12:P12">SUM(F13:F14)</f>
        <v>0.361</v>
      </c>
      <c r="G12" s="70">
        <f t="shared" si="1"/>
        <v>1.16</v>
      </c>
      <c r="H12" s="71">
        <f t="shared" si="1"/>
        <v>0.258325</v>
      </c>
      <c r="I12" s="47">
        <f t="shared" si="1"/>
        <v>2.86</v>
      </c>
      <c r="J12" s="9">
        <f t="shared" si="1"/>
        <v>0.7641</v>
      </c>
      <c r="K12" s="9">
        <f t="shared" si="1"/>
        <v>3.153</v>
      </c>
      <c r="L12" s="9">
        <f t="shared" si="1"/>
        <v>0.8196300000000001</v>
      </c>
      <c r="M12" s="9">
        <f t="shared" si="1"/>
        <v>2.947</v>
      </c>
      <c r="N12" s="9">
        <f t="shared" si="1"/>
        <v>0.77637</v>
      </c>
      <c r="O12" s="9">
        <f t="shared" si="1"/>
        <v>4.462</v>
      </c>
      <c r="P12" s="9">
        <f t="shared" si="1"/>
        <v>1.401645</v>
      </c>
      <c r="Q12" s="9">
        <f aca="true" t="shared" si="2" ref="Q12:R17">SUM(O12+M12+K12+I12+G12+E12)</f>
        <v>16.36</v>
      </c>
      <c r="R12" s="9">
        <f t="shared" si="2"/>
        <v>4.38107</v>
      </c>
      <c r="S12" s="10"/>
    </row>
    <row r="13" spans="1:18" s="5" customFormat="1" ht="16.5" customHeight="1">
      <c r="A13" s="103" t="s">
        <v>22</v>
      </c>
      <c r="B13" s="57" t="s">
        <v>24</v>
      </c>
      <c r="C13" s="70"/>
      <c r="D13" s="71"/>
      <c r="E13" s="70">
        <v>1.778</v>
      </c>
      <c r="F13" s="71">
        <v>0.361</v>
      </c>
      <c r="G13" s="70">
        <v>1.115</v>
      </c>
      <c r="H13" s="71">
        <f>0.516-0.172-0.103</f>
        <v>0.24100000000000005</v>
      </c>
      <c r="I13" s="47">
        <v>1.96</v>
      </c>
      <c r="J13" s="9">
        <f>+I13*0.21+0.006</f>
        <v>0.41759999999999997</v>
      </c>
      <c r="K13" s="9">
        <v>2.253</v>
      </c>
      <c r="L13" s="9">
        <f>+K13*0.21</f>
        <v>0.47313</v>
      </c>
      <c r="M13" s="9">
        <v>2.047</v>
      </c>
      <c r="N13" s="9">
        <f>+M13*0.21</f>
        <v>0.42987000000000003</v>
      </c>
      <c r="O13" s="9">
        <v>1.807</v>
      </c>
      <c r="P13" s="9">
        <f>+O13*0.21</f>
        <v>0.37947</v>
      </c>
      <c r="Q13" s="9">
        <f t="shared" si="2"/>
        <v>10.96</v>
      </c>
      <c r="R13" s="9">
        <f t="shared" si="2"/>
        <v>2.30207</v>
      </c>
    </row>
    <row r="14" spans="1:19" s="5" customFormat="1" ht="33.75">
      <c r="A14" s="103" t="s">
        <v>23</v>
      </c>
      <c r="B14" s="57" t="s">
        <v>40</v>
      </c>
      <c r="C14" s="70"/>
      <c r="D14" s="71"/>
      <c r="E14" s="70">
        <v>0</v>
      </c>
      <c r="F14" s="71">
        <v>0</v>
      </c>
      <c r="G14" s="70">
        <v>0.045</v>
      </c>
      <c r="H14" s="71">
        <f>+G14*0.385</f>
        <v>0.017325</v>
      </c>
      <c r="I14" s="47">
        <f>0.9</f>
        <v>0.9</v>
      </c>
      <c r="J14" s="9">
        <f>+I14*0.385</f>
        <v>0.34650000000000003</v>
      </c>
      <c r="K14" s="9">
        <f>0.9</f>
        <v>0.9</v>
      </c>
      <c r="L14" s="9">
        <f>+K14*0.385</f>
        <v>0.34650000000000003</v>
      </c>
      <c r="M14" s="9">
        <f>0.9</f>
        <v>0.9</v>
      </c>
      <c r="N14" s="9">
        <f>+M14*0.385</f>
        <v>0.34650000000000003</v>
      </c>
      <c r="O14" s="9">
        <v>2.655</v>
      </c>
      <c r="P14" s="9">
        <f>+O14*0.385</f>
        <v>1.022175</v>
      </c>
      <c r="Q14" s="9">
        <f t="shared" si="2"/>
        <v>5.4</v>
      </c>
      <c r="R14" s="9">
        <f t="shared" si="2"/>
        <v>2.079</v>
      </c>
      <c r="S14" s="10"/>
    </row>
    <row r="15" spans="1:19" ht="52.5">
      <c r="A15" s="103" t="s">
        <v>11</v>
      </c>
      <c r="B15" s="66" t="s">
        <v>18</v>
      </c>
      <c r="C15" s="70">
        <v>0</v>
      </c>
      <c r="D15" s="71">
        <v>0</v>
      </c>
      <c r="E15" s="70">
        <f aca="true" t="shared" si="3" ref="E15:P15">SUM(E16:E17)</f>
        <v>0.125</v>
      </c>
      <c r="F15" s="71">
        <f t="shared" si="3"/>
        <v>0.031245000000000002</v>
      </c>
      <c r="G15" s="70">
        <f t="shared" si="3"/>
        <v>1.075</v>
      </c>
      <c r="H15" s="71">
        <f>SUM(H16:H17)+0.001</f>
        <v>0.20381999999999997</v>
      </c>
      <c r="I15" s="47">
        <f t="shared" si="3"/>
        <v>0.9446666666666667</v>
      </c>
      <c r="J15" s="9">
        <f t="shared" si="3"/>
        <v>0.21348</v>
      </c>
      <c r="K15" s="9">
        <f t="shared" si="3"/>
        <v>0.9</v>
      </c>
      <c r="L15" s="9">
        <f t="shared" si="3"/>
        <v>0.19428333333333334</v>
      </c>
      <c r="M15" s="9">
        <f t="shared" si="3"/>
        <v>0.9</v>
      </c>
      <c r="N15" s="9">
        <f t="shared" si="3"/>
        <v>0.19428333333333334</v>
      </c>
      <c r="O15" s="9">
        <f t="shared" si="3"/>
        <v>1.455</v>
      </c>
      <c r="P15" s="9">
        <f t="shared" si="3"/>
        <v>0.33546</v>
      </c>
      <c r="Q15" s="9">
        <f t="shared" si="2"/>
        <v>5.399666666666667</v>
      </c>
      <c r="R15" s="9">
        <f>SUM(P15+N15+L15+J15+H15+F15)+0.004</f>
        <v>1.1765716666666666</v>
      </c>
      <c r="S15" s="10"/>
    </row>
    <row r="16" spans="1:18" ht="45">
      <c r="A16" s="103" t="s">
        <v>12</v>
      </c>
      <c r="B16" s="57" t="s">
        <v>19</v>
      </c>
      <c r="C16" s="70"/>
      <c r="D16" s="71"/>
      <c r="E16" s="70">
        <v>0.08</v>
      </c>
      <c r="F16" s="71">
        <f>+E16*0.174</f>
        <v>0.01392</v>
      </c>
      <c r="G16" s="70">
        <v>1.005</v>
      </c>
      <c r="H16" s="71">
        <f>+G16*0.174+0.001</f>
        <v>0.17586999999999997</v>
      </c>
      <c r="I16" s="47">
        <f>0.9*4.3/5.4</f>
        <v>0.7166666666666667</v>
      </c>
      <c r="J16" s="9">
        <f>+I16*0.174</f>
        <v>0.12469999999999999</v>
      </c>
      <c r="K16" s="9">
        <f>0.9*4.3/5.4</f>
        <v>0.7166666666666667</v>
      </c>
      <c r="L16" s="9">
        <f>+K16*0.174-0.001</f>
        <v>0.12369999999999999</v>
      </c>
      <c r="M16" s="9">
        <f>0.9*4.3/5.4</f>
        <v>0.7166666666666667</v>
      </c>
      <c r="N16" s="9">
        <f>+M16*0.174-0.001</f>
        <v>0.12369999999999999</v>
      </c>
      <c r="O16" s="9">
        <v>1.065</v>
      </c>
      <c r="P16" s="9">
        <f>+O16*0.174</f>
        <v>0.18530999999999997</v>
      </c>
      <c r="Q16" s="9">
        <f>SUM(O16+M16+K16+I16+G16+E16)</f>
        <v>4.300000000000001</v>
      </c>
      <c r="R16" s="9">
        <f>SUM(P16+N16+L16+J16+H16+F16)+0.005</f>
        <v>0.7522</v>
      </c>
    </row>
    <row r="17" spans="1:18" ht="67.5">
      <c r="A17" s="103" t="s">
        <v>13</v>
      </c>
      <c r="B17" s="57" t="s">
        <v>20</v>
      </c>
      <c r="C17" s="70"/>
      <c r="D17" s="71"/>
      <c r="E17" s="70">
        <v>0.045</v>
      </c>
      <c r="F17" s="71">
        <f>+E17*0.385</f>
        <v>0.017325</v>
      </c>
      <c r="G17" s="70">
        <v>0.07</v>
      </c>
      <c r="H17" s="71">
        <f>+G17*0.385</f>
        <v>0.02695</v>
      </c>
      <c r="I17" s="47">
        <v>0.228</v>
      </c>
      <c r="J17" s="9">
        <f>+I17*0.385+0.001</f>
        <v>0.08878000000000001</v>
      </c>
      <c r="K17" s="9">
        <f>0.9*1.1/5.4</f>
        <v>0.18333333333333335</v>
      </c>
      <c r="L17" s="9">
        <f>+K17*0.385</f>
        <v>0.07058333333333335</v>
      </c>
      <c r="M17" s="9">
        <f>0.9*1.1/5.4</f>
        <v>0.18333333333333335</v>
      </c>
      <c r="N17" s="9">
        <f>+M17*0.385</f>
        <v>0.07058333333333335</v>
      </c>
      <c r="O17" s="9">
        <v>0.39</v>
      </c>
      <c r="P17" s="9">
        <f>+O17*0.385</f>
        <v>0.15015</v>
      </c>
      <c r="Q17" s="9">
        <f>SUM(O17+M17+K17+I17+G17+E17)</f>
        <v>1.0996666666666666</v>
      </c>
      <c r="R17" s="9">
        <f t="shared" si="2"/>
        <v>0.42437166666666665</v>
      </c>
    </row>
    <row r="18" spans="1:18" ht="31.5">
      <c r="A18" s="103"/>
      <c r="B18" s="66" t="s">
        <v>7</v>
      </c>
      <c r="C18" s="70">
        <v>0</v>
      </c>
      <c r="D18" s="71">
        <v>0</v>
      </c>
      <c r="E18" s="70">
        <f>0.642-0.642</f>
        <v>0</v>
      </c>
      <c r="F18" s="71">
        <f>+E18*0.5</f>
        <v>0</v>
      </c>
      <c r="G18" s="70">
        <v>0</v>
      </c>
      <c r="H18" s="71">
        <f>+G18*0.5</f>
        <v>0</v>
      </c>
      <c r="I18" s="47">
        <v>0.4</v>
      </c>
      <c r="J18" s="9">
        <f>+I18*0.5</f>
        <v>0.2</v>
      </c>
      <c r="K18" s="9">
        <v>0</v>
      </c>
      <c r="L18" s="9">
        <v>0</v>
      </c>
      <c r="M18" s="9">
        <v>0</v>
      </c>
      <c r="N18" s="9">
        <v>0</v>
      </c>
      <c r="O18" s="9">
        <v>0.6</v>
      </c>
      <c r="P18" s="9">
        <f>+O18*0.5</f>
        <v>0.3</v>
      </c>
      <c r="Q18" s="9">
        <f aca="true" t="shared" si="4" ref="Q18:R20">+O18+M18+K18+I18+G18+E18+C18</f>
        <v>1</v>
      </c>
      <c r="R18" s="9">
        <f t="shared" si="4"/>
        <v>0.5</v>
      </c>
    </row>
    <row r="19" spans="1:18" ht="42">
      <c r="A19" s="103">
        <v>6</v>
      </c>
      <c r="B19" s="66" t="s">
        <v>25</v>
      </c>
      <c r="C19" s="70">
        <v>0</v>
      </c>
      <c r="D19" s="71">
        <v>0</v>
      </c>
      <c r="E19" s="70">
        <v>13.916</v>
      </c>
      <c r="F19" s="71">
        <f>+E19*0.175</f>
        <v>2.4353</v>
      </c>
      <c r="G19" s="70">
        <v>14.258</v>
      </c>
      <c r="H19" s="71">
        <f>+G19*0.175</f>
        <v>2.4951499999999998</v>
      </c>
      <c r="I19" s="47">
        <v>13.319</v>
      </c>
      <c r="J19" s="9">
        <f>+I19*0.175</f>
        <v>2.330825</v>
      </c>
      <c r="K19" s="9">
        <v>10.1</v>
      </c>
      <c r="L19" s="9">
        <f>+K19*0.175</f>
        <v>1.7674999999999998</v>
      </c>
      <c r="M19" s="9">
        <v>11.1</v>
      </c>
      <c r="N19" s="9">
        <f>+M19*0.175</f>
        <v>1.9425</v>
      </c>
      <c r="O19" s="9">
        <v>2.14</v>
      </c>
      <c r="P19" s="9">
        <f>+O19*0.175</f>
        <v>0.3745</v>
      </c>
      <c r="Q19" s="9">
        <f t="shared" si="4"/>
        <v>64.833</v>
      </c>
      <c r="R19" s="9">
        <f t="shared" si="4"/>
        <v>11.345774999999998</v>
      </c>
    </row>
    <row r="20" spans="1:18" ht="31.5">
      <c r="A20" s="103">
        <v>7</v>
      </c>
      <c r="B20" s="66" t="s">
        <v>26</v>
      </c>
      <c r="C20" s="70">
        <v>0</v>
      </c>
      <c r="D20" s="71">
        <v>0</v>
      </c>
      <c r="E20" s="70">
        <v>0</v>
      </c>
      <c r="F20" s="71">
        <v>0</v>
      </c>
      <c r="G20" s="70">
        <v>0</v>
      </c>
      <c r="H20" s="71">
        <f>+G20*0.353</f>
        <v>0</v>
      </c>
      <c r="I20" s="47">
        <v>0</v>
      </c>
      <c r="J20" s="9">
        <f>+I20*0.353</f>
        <v>0</v>
      </c>
      <c r="K20" s="9">
        <v>0</v>
      </c>
      <c r="L20" s="9">
        <f>+K20*0.353</f>
        <v>0</v>
      </c>
      <c r="M20" s="9">
        <v>0</v>
      </c>
      <c r="N20" s="9">
        <f>+M20*0.353</f>
        <v>0</v>
      </c>
      <c r="O20" s="9">
        <v>0</v>
      </c>
      <c r="P20" s="9">
        <f>+O20*0.353</f>
        <v>0</v>
      </c>
      <c r="Q20" s="9">
        <f t="shared" si="4"/>
        <v>0</v>
      </c>
      <c r="R20" s="9">
        <f t="shared" si="4"/>
        <v>0</v>
      </c>
    </row>
    <row r="21" spans="1:18" ht="14.25">
      <c r="A21" s="103">
        <v>8</v>
      </c>
      <c r="B21" s="66" t="s">
        <v>27</v>
      </c>
      <c r="C21" s="70">
        <v>0</v>
      </c>
      <c r="D21" s="71">
        <v>0</v>
      </c>
      <c r="E21" s="70">
        <v>0.075</v>
      </c>
      <c r="F21" s="71">
        <f>+E21*0.35</f>
        <v>0.02625</v>
      </c>
      <c r="G21" s="70">
        <v>0.135</v>
      </c>
      <c r="H21" s="71">
        <f>+G21*0.35</f>
        <v>0.04725</v>
      </c>
      <c r="I21" s="47">
        <v>0.134</v>
      </c>
      <c r="J21" s="9">
        <f>+I21*0.35</f>
        <v>0.0469</v>
      </c>
      <c r="K21" s="9">
        <v>0.134</v>
      </c>
      <c r="L21" s="9">
        <f>+K21*0.35</f>
        <v>0.0469</v>
      </c>
      <c r="M21" s="9">
        <v>0.134</v>
      </c>
      <c r="N21" s="9">
        <f>+M21*0.35</f>
        <v>0.0469</v>
      </c>
      <c r="O21" s="9">
        <v>0.137</v>
      </c>
      <c r="P21" s="9">
        <f>+O21*0.35</f>
        <v>0.04795</v>
      </c>
      <c r="Q21" s="9">
        <f>+O21+M21+K21+I21+G21+E21+C21+0.001</f>
        <v>0.75</v>
      </c>
      <c r="R21" s="9">
        <f>+P21+N21+L21+J21+H21+F21+D21+0.001</f>
        <v>0.26315</v>
      </c>
    </row>
    <row r="22" spans="1:18" ht="52.5">
      <c r="A22" s="103">
        <v>9</v>
      </c>
      <c r="B22" s="66" t="s">
        <v>28</v>
      </c>
      <c r="C22" s="70">
        <v>0</v>
      </c>
      <c r="D22" s="71">
        <v>0</v>
      </c>
      <c r="E22" s="70">
        <v>0</v>
      </c>
      <c r="F22" s="71">
        <v>0</v>
      </c>
      <c r="G22" s="70">
        <v>0</v>
      </c>
      <c r="H22" s="71">
        <f>+G22*0.221</f>
        <v>0</v>
      </c>
      <c r="I22" s="47">
        <v>0</v>
      </c>
      <c r="J22" s="9">
        <f>+I22*0.221</f>
        <v>0</v>
      </c>
      <c r="K22" s="9">
        <v>0</v>
      </c>
      <c r="L22" s="9">
        <f>+K22*0.221</f>
        <v>0</v>
      </c>
      <c r="M22" s="9">
        <v>0.168</v>
      </c>
      <c r="N22" s="9">
        <f>+M22*0.221</f>
        <v>0.037128</v>
      </c>
      <c r="O22" s="9">
        <v>0.362</v>
      </c>
      <c r="P22" s="9">
        <f>+O22*0.221</f>
        <v>0.080002</v>
      </c>
      <c r="Q22" s="9">
        <f>+O22+M22+K22+I22+G22+E22+C22</f>
        <v>0.53</v>
      </c>
      <c r="R22" s="9">
        <f>+P22+N22+L22+J22+H22+F22+D22-0.002</f>
        <v>0.11513000000000001</v>
      </c>
    </row>
    <row r="23" spans="1:18" ht="21">
      <c r="A23" s="103">
        <v>10</v>
      </c>
      <c r="B23" s="66" t="s">
        <v>29</v>
      </c>
      <c r="C23" s="70">
        <v>0</v>
      </c>
      <c r="D23" s="71">
        <v>0</v>
      </c>
      <c r="E23" s="70">
        <v>0</v>
      </c>
      <c r="F23" s="71">
        <v>0</v>
      </c>
      <c r="G23" s="70">
        <v>0</v>
      </c>
      <c r="H23" s="71">
        <f>+G23*0.353</f>
        <v>0</v>
      </c>
      <c r="I23" s="47">
        <v>0</v>
      </c>
      <c r="J23" s="9">
        <f>+I23*0.353</f>
        <v>0</v>
      </c>
      <c r="K23" s="9">
        <v>0</v>
      </c>
      <c r="L23" s="9">
        <f>+K23*0.353</f>
        <v>0</v>
      </c>
      <c r="M23" s="9">
        <v>0</v>
      </c>
      <c r="N23" s="9">
        <f>+M23*0.353</f>
        <v>0</v>
      </c>
      <c r="O23" s="9">
        <v>0</v>
      </c>
      <c r="P23" s="9">
        <f>+O23*0.353</f>
        <v>0</v>
      </c>
      <c r="Q23" s="9">
        <f>+O23+M23+K23+I23+G23+E23+C23</f>
        <v>0</v>
      </c>
      <c r="R23" s="9">
        <f>+P23+N23+L23+J23+H23+F23+D23</f>
        <v>0</v>
      </c>
    </row>
    <row r="24" spans="1:18" ht="31.5">
      <c r="A24" s="103">
        <v>11</v>
      </c>
      <c r="B24" s="66" t="s">
        <v>30</v>
      </c>
      <c r="C24" s="70">
        <v>0</v>
      </c>
      <c r="D24" s="71">
        <v>0</v>
      </c>
      <c r="E24" s="70">
        <v>0</v>
      </c>
      <c r="F24" s="71">
        <f>+E24*0.353</f>
        <v>0</v>
      </c>
      <c r="G24" s="70">
        <v>0.998</v>
      </c>
      <c r="H24" s="71">
        <f>+G24*0.353</f>
        <v>0.352294</v>
      </c>
      <c r="I24" s="47">
        <v>3.863</v>
      </c>
      <c r="J24" s="9">
        <f>+I24*0.353</f>
        <v>1.3636389999999998</v>
      </c>
      <c r="K24" s="9">
        <v>2.491</v>
      </c>
      <c r="L24" s="9">
        <f>+K24*0.353</f>
        <v>0.879323</v>
      </c>
      <c r="M24" s="9">
        <v>2.333</v>
      </c>
      <c r="N24" s="9">
        <f>+M24*0.353-0.002</f>
        <v>0.821549</v>
      </c>
      <c r="O24" s="9">
        <v>2.466</v>
      </c>
      <c r="P24" s="9">
        <f>+O24*0.353-0.001</f>
        <v>0.869498</v>
      </c>
      <c r="Q24" s="9">
        <f>+O24+M24+K24+I24+G24+E24+C24-0.001</f>
        <v>12.15</v>
      </c>
      <c r="R24" s="9">
        <f>+P24+N24+L24+J24+H24+F24+D24-0.002</f>
        <v>4.2843029999999995</v>
      </c>
    </row>
    <row r="25" spans="1:18" ht="21">
      <c r="A25" s="103">
        <v>12</v>
      </c>
      <c r="B25" s="66" t="s">
        <v>31</v>
      </c>
      <c r="C25" s="70">
        <v>0</v>
      </c>
      <c r="D25" s="71">
        <v>0</v>
      </c>
      <c r="E25" s="70">
        <v>2.76</v>
      </c>
      <c r="F25" s="71">
        <v>0.974</v>
      </c>
      <c r="G25" s="70">
        <v>1.791</v>
      </c>
      <c r="H25" s="71">
        <f>1.318-0.488-0.249</f>
        <v>0.5810000000000001</v>
      </c>
      <c r="I25" s="47">
        <v>4.898</v>
      </c>
      <c r="J25" s="9">
        <f>2.427-0.899-0.397-0.061</f>
        <v>1.07</v>
      </c>
      <c r="K25" s="9">
        <v>3.343</v>
      </c>
      <c r="L25" s="9">
        <f>+K25*0.278</f>
        <v>0.9293540000000001</v>
      </c>
      <c r="M25" s="9">
        <v>4.137</v>
      </c>
      <c r="N25" s="9">
        <f>+M25*0.278</f>
        <v>1.150086</v>
      </c>
      <c r="O25" s="9">
        <v>6.47</v>
      </c>
      <c r="P25" s="9">
        <f>+O25*0.278</f>
        <v>1.7986600000000001</v>
      </c>
      <c r="Q25" s="9">
        <f>+O25+M25+K25+I25+G25+E25+C25</f>
        <v>23.399</v>
      </c>
      <c r="R25" s="9">
        <f>+P25+N25+L25+J25+H25+F25+D25+0.002</f>
        <v>6.5051000000000005</v>
      </c>
    </row>
    <row r="26" spans="1:19" ht="21">
      <c r="A26" s="103">
        <v>13</v>
      </c>
      <c r="B26" s="66" t="s">
        <v>32</v>
      </c>
      <c r="C26" s="70">
        <v>0</v>
      </c>
      <c r="D26" s="71">
        <v>0</v>
      </c>
      <c r="E26" s="70">
        <f>11.662-0.34</f>
        <v>11.322000000000001</v>
      </c>
      <c r="F26" s="71">
        <f>+E26*0.5</f>
        <v>5.6610000000000005</v>
      </c>
      <c r="G26" s="70">
        <v>16.95335428</v>
      </c>
      <c r="H26" s="71">
        <f>+G26*0.5</f>
        <v>8.47667714</v>
      </c>
      <c r="I26" s="47">
        <f>1.784+0.136</f>
        <v>1.92</v>
      </c>
      <c r="J26" s="9">
        <f>+I26*0.5</f>
        <v>0.96</v>
      </c>
      <c r="K26" s="9">
        <v>15.75</v>
      </c>
      <c r="L26" s="9">
        <f>+K26*0.5</f>
        <v>7.875</v>
      </c>
      <c r="M26" s="9">
        <v>15.484</v>
      </c>
      <c r="N26" s="9">
        <f>+M26*0.5</f>
        <v>7.742</v>
      </c>
      <c r="O26" s="9">
        <v>16.381</v>
      </c>
      <c r="P26" s="9">
        <f>+O26*0.5</f>
        <v>8.1905</v>
      </c>
      <c r="Q26" s="9">
        <f>O26+M26+K26+I26+G26+E26+C26</f>
        <v>77.81035428000001</v>
      </c>
      <c r="R26" s="9">
        <f>P26+N26+L26+J26+H26+F26+D26</f>
        <v>38.905177140000006</v>
      </c>
      <c r="S26" s="10"/>
    </row>
    <row r="27" spans="1:21" ht="14.25">
      <c r="A27" s="103"/>
      <c r="B27" s="66" t="s">
        <v>5</v>
      </c>
      <c r="C27" s="70">
        <v>31.308</v>
      </c>
      <c r="D27" s="71">
        <f>+C27*0.5</f>
        <v>15.654</v>
      </c>
      <c r="E27" s="70">
        <f>0.614+1.408</f>
        <v>2.022</v>
      </c>
      <c r="F27" s="71">
        <f>+E27*0.5</f>
        <v>1.011</v>
      </c>
      <c r="G27" s="70">
        <v>0.75170132</v>
      </c>
      <c r="H27" s="71">
        <f>+G27*0.5</f>
        <v>0.37585066</v>
      </c>
      <c r="I27" s="47">
        <f>14.226+0.022</f>
        <v>14.248000000000001</v>
      </c>
      <c r="J27" s="9">
        <f>+I27*0.5</f>
        <v>7.1240000000000006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f>O27+M27+K27+I27+G27+E27+C27</f>
        <v>48.32970132</v>
      </c>
      <c r="R27" s="9">
        <f>P27+N27+L27+J27+H27+F27+D27</f>
        <v>24.16485066</v>
      </c>
      <c r="S27" s="10"/>
      <c r="T27" s="10"/>
      <c r="U27" s="10"/>
    </row>
    <row r="28" spans="1:18" ht="31.5">
      <c r="A28" s="103">
        <v>14</v>
      </c>
      <c r="B28" s="66" t="s">
        <v>33</v>
      </c>
      <c r="C28" s="70">
        <v>0</v>
      </c>
      <c r="D28" s="71">
        <v>0</v>
      </c>
      <c r="E28" s="70">
        <f>4.147-0.201</f>
        <v>3.946</v>
      </c>
      <c r="F28" s="71">
        <f>+E28*0.5</f>
        <v>1.973</v>
      </c>
      <c r="G28" s="70">
        <v>6.531</v>
      </c>
      <c r="H28" s="71">
        <f>+G28*0.5</f>
        <v>3.2655</v>
      </c>
      <c r="I28" s="47">
        <v>4.6</v>
      </c>
      <c r="J28" s="9">
        <f>+I28*0.5</f>
        <v>2.3</v>
      </c>
      <c r="K28" s="9">
        <v>5.432</v>
      </c>
      <c r="L28" s="9">
        <f>+K28*0.5</f>
        <v>2.716</v>
      </c>
      <c r="M28" s="9">
        <v>5.442</v>
      </c>
      <c r="N28" s="9">
        <f>+M28*0.5</f>
        <v>2.721</v>
      </c>
      <c r="O28" s="9">
        <v>4.41</v>
      </c>
      <c r="P28" s="9">
        <f>+O28*0.5-0.001</f>
        <v>2.204</v>
      </c>
      <c r="Q28" s="9">
        <f>SUM(C28+E28+G28+I28+K28+M28+O28)</f>
        <v>30.361</v>
      </c>
      <c r="R28" s="9">
        <f>SUM(D28+F28+H28+J28+L28+N28+P28)</f>
        <v>15.1795</v>
      </c>
    </row>
    <row r="29" spans="1:18" ht="52.5">
      <c r="A29" s="103" t="s">
        <v>8</v>
      </c>
      <c r="B29" s="66" t="s">
        <v>34</v>
      </c>
      <c r="C29" s="70">
        <v>0</v>
      </c>
      <c r="D29" s="71">
        <v>0</v>
      </c>
      <c r="E29" s="70">
        <v>0</v>
      </c>
      <c r="F29" s="71">
        <v>0</v>
      </c>
      <c r="G29" s="70">
        <v>0</v>
      </c>
      <c r="H29" s="71">
        <f>+G29*0.221</f>
        <v>0</v>
      </c>
      <c r="I29" s="47">
        <v>0</v>
      </c>
      <c r="J29" s="9">
        <f>+I29*0.221</f>
        <v>0</v>
      </c>
      <c r="K29" s="9">
        <v>0</v>
      </c>
      <c r="L29" s="9">
        <f>+K29*0.221</f>
        <v>0</v>
      </c>
      <c r="M29" s="9">
        <v>0</v>
      </c>
      <c r="N29" s="9">
        <f>+M29*0.221</f>
        <v>0</v>
      </c>
      <c r="O29" s="9">
        <v>0</v>
      </c>
      <c r="P29" s="9">
        <f>+O29*0.221</f>
        <v>0</v>
      </c>
      <c r="Q29" s="9">
        <f>+O29+M29+K29+I29+G29+E29+C29</f>
        <v>0</v>
      </c>
      <c r="R29" s="9">
        <f>+P29+N29+L29+J29+H29+F29+D29</f>
        <v>0</v>
      </c>
    </row>
    <row r="30" spans="1:20" ht="52.5">
      <c r="A30" s="103" t="s">
        <v>36</v>
      </c>
      <c r="B30" s="66" t="s">
        <v>35</v>
      </c>
      <c r="C30" s="70">
        <f>SUM(C31:C32)</f>
        <v>0</v>
      </c>
      <c r="D30" s="71">
        <f aca="true" t="shared" si="5" ref="D30:P30">SUM(D31:D32)</f>
        <v>0</v>
      </c>
      <c r="E30" s="70">
        <f t="shared" si="5"/>
        <v>2.908</v>
      </c>
      <c r="F30" s="71">
        <f t="shared" si="5"/>
        <v>0.48854400000000003</v>
      </c>
      <c r="G30" s="70">
        <f t="shared" si="5"/>
        <v>5.5520000000000005</v>
      </c>
      <c r="H30" s="71">
        <f t="shared" si="5"/>
        <v>1.1561560000000002</v>
      </c>
      <c r="I30" s="47">
        <f t="shared" si="5"/>
        <v>4.89160759545585</v>
      </c>
      <c r="J30" s="9">
        <f t="shared" si="5"/>
        <v>1.2355873101751222</v>
      </c>
      <c r="K30" s="9">
        <f t="shared" si="5"/>
        <v>5.3484929664110235</v>
      </c>
      <c r="L30" s="9">
        <f t="shared" si="5"/>
        <v>1.3519000923594304</v>
      </c>
      <c r="M30" s="9">
        <f t="shared" si="5"/>
        <v>6.463460935897961</v>
      </c>
      <c r="N30" s="9">
        <f t="shared" si="5"/>
        <v>1.6323055975064595</v>
      </c>
      <c r="O30" s="9">
        <f t="shared" si="5"/>
        <v>8.905000000000001</v>
      </c>
      <c r="P30" s="9">
        <f t="shared" si="5"/>
        <v>2.7420400000000003</v>
      </c>
      <c r="Q30" s="9">
        <f>+O30+M30+K30+I30+G30+E30+C30-0.001</f>
        <v>34.06756149776484</v>
      </c>
      <c r="R30" s="9">
        <f>+P30+N30+L30+J30+H30+F30+D30-0.005</f>
        <v>8.601533000041012</v>
      </c>
      <c r="T30" s="10"/>
    </row>
    <row r="31" spans="1:18" ht="45">
      <c r="A31" s="103" t="s">
        <v>9</v>
      </c>
      <c r="B31" s="57" t="s">
        <v>38</v>
      </c>
      <c r="C31" s="70"/>
      <c r="D31" s="71"/>
      <c r="E31" s="70">
        <v>0</v>
      </c>
      <c r="F31" s="71">
        <v>0</v>
      </c>
      <c r="G31" s="70">
        <v>1.011</v>
      </c>
      <c r="H31" s="71">
        <f>+G31*0.388+0.001</f>
        <v>0.39326799999999995</v>
      </c>
      <c r="I31" s="47">
        <f>13.068*3.501/24.383</f>
        <v>1.876351064266087</v>
      </c>
      <c r="J31" s="9">
        <f>+I31*0.388+0.001</f>
        <v>0.7290242129352418</v>
      </c>
      <c r="K31" s="9">
        <f>13.068*3.828/24.383</f>
        <v>2.051605790919903</v>
      </c>
      <c r="L31" s="9">
        <f>+K31*0.388+0.002</f>
        <v>0.7980230468769223</v>
      </c>
      <c r="M31" s="9">
        <f>13.068*4.626/24.383</f>
        <v>2.479291637616372</v>
      </c>
      <c r="N31" s="9">
        <f>+M31*0.388+0.001</f>
        <v>0.9629651553951524</v>
      </c>
      <c r="O31" s="9">
        <v>5.65</v>
      </c>
      <c r="P31" s="9">
        <f>+O31*0.388+0.003</f>
        <v>2.1952000000000003</v>
      </c>
      <c r="Q31" s="9">
        <f>+O31+M31+K31+I31+G31+E31+C31</f>
        <v>13.068248492802361</v>
      </c>
      <c r="R31" s="9">
        <f>+P31+N31+L31+J31+H31+F31+D31-0.001</f>
        <v>5.077480415207316</v>
      </c>
    </row>
    <row r="32" spans="1:18" ht="22.5">
      <c r="A32" s="103" t="s">
        <v>10</v>
      </c>
      <c r="B32" s="57" t="s">
        <v>37</v>
      </c>
      <c r="C32" s="70"/>
      <c r="D32" s="71"/>
      <c r="E32" s="70">
        <v>2.908</v>
      </c>
      <c r="F32" s="71">
        <f>+E32*0.168</f>
        <v>0.48854400000000003</v>
      </c>
      <c r="G32" s="70">
        <v>4.541</v>
      </c>
      <c r="H32" s="71">
        <f>+G32*0.168</f>
        <v>0.7628880000000001</v>
      </c>
      <c r="I32" s="47">
        <f>21*3.501/24.383</f>
        <v>3.0152565311897637</v>
      </c>
      <c r="J32" s="9">
        <f>+I32*0.168</f>
        <v>0.5065630972398804</v>
      </c>
      <c r="K32" s="9">
        <f>21*3.828/24.383</f>
        <v>3.2968871754911206</v>
      </c>
      <c r="L32" s="9">
        <f>+K32*0.168</f>
        <v>0.5538770454825083</v>
      </c>
      <c r="M32" s="9">
        <f>21*4.626/24.383</f>
        <v>3.9841692982815897</v>
      </c>
      <c r="N32" s="9">
        <f>+M32*0.168</f>
        <v>0.6693404421113072</v>
      </c>
      <c r="O32" s="9">
        <v>3.255</v>
      </c>
      <c r="P32" s="9">
        <f>+O32*0.168</f>
        <v>0.54684</v>
      </c>
      <c r="Q32" s="9">
        <f>+O32+M32+K32+I32+G32+E32+C32</f>
        <v>21.000313004962475</v>
      </c>
      <c r="R32" s="9">
        <f>+P32+N32+L32+J32+H32+F32+D32</f>
        <v>3.5280525848336963</v>
      </c>
    </row>
    <row r="33" spans="1:40" s="4" customFormat="1" ht="15" thickBot="1">
      <c r="A33" s="104"/>
      <c r="B33" s="75" t="s">
        <v>4</v>
      </c>
      <c r="C33" s="72">
        <f>SUM(C30+C29+C28+C27+C26+C25+C24+C23+C22+C21+C20+C19+C18+C15+C12+C11+C10+C9+C8)</f>
        <v>31.308</v>
      </c>
      <c r="D33" s="73">
        <f>SUM(D30+D29+D28+D27+D26+D25+D24+D23+D22+D21+D20+D19+D18+D15+D12+D11+D10+D9+D8)</f>
        <v>15.654</v>
      </c>
      <c r="E33" s="72">
        <f>SUM(E30+E29+E28+E27+E26+E25+E24+E23+E22+E21+E20+E19+E18+E15+E12+E11+E10+E9+E8)</f>
        <v>43.736</v>
      </c>
      <c r="F33" s="73">
        <f>+F32+F31+F29+F28+F27+F26+F25+F24+F23+F22+F21+F20+F19+F18+F17+F16+F14+F13+F11+F10+F9+F8</f>
        <v>14.111589</v>
      </c>
      <c r="G33" s="72">
        <f>SUM(G30+G29+G28+G27+G26+G25+G24+G23+G22+G21+G20+G19+G18+G15+G12+G11+G10+G9+G8)</f>
        <v>56.626055599999994</v>
      </c>
      <c r="H33" s="73">
        <f>+H32+H31+H29+H28+H27+H26+H25+H24+H23+H22+H21+H20+H19+H18+H17+H16+H14+H13+H11+H10+H9+H8+0.002</f>
        <v>19.030188449999997</v>
      </c>
      <c r="I33" s="74">
        <f>SUM(I30+I29+I28+I27+I26+I25+I24+I23+I22+I21+I20+I19+I18+I15+I12+I11+I10+I9+I8)-0.003</f>
        <v>60.10127426212252</v>
      </c>
      <c r="J33" s="12">
        <f>+J32+J31+J29+J28+J27+J26+J25+J24+J23+J22+J21+J20+J19+J18+J17+J16+J14+J13+J11+J10+J9+J8</f>
        <v>19.357791310175124</v>
      </c>
      <c r="K33" s="12">
        <f>SUM(K30+K29+K28+K27+K26+K25+K24+K23+K22+K21+K20+K19+K18+K15+K12+K11+K10+K9+K8)</f>
        <v>56.43949296641103</v>
      </c>
      <c r="L33" s="12">
        <f>SUM(L30+L29+L28+L27+L26+L25+L24+L23+L22+L21+L20+L19+L18+L15+L12+L11+L10+L9+L8)-0.001</f>
        <v>18.75799042569276</v>
      </c>
      <c r="M33" s="12">
        <f>SUM(M30+M29+M28+M27+M26+M25+M24+M23+M22+M21+M20+M19+M18+M15+M12+M11+M10+M9+M8)-0.001</f>
        <v>58.85246093589797</v>
      </c>
      <c r="N33" s="12">
        <f>SUM(N30+N29+N28+N27+N26+N25+N24+N23+N22+N21+N20+N19+N18+N15+N12+N11+N10+N9+N8)</f>
        <v>19.23461193083979</v>
      </c>
      <c r="O33" s="12">
        <f>SUM(O30+O29+O28+O27+O26+O25+O24+O23+O22+O21+O20+O19+O18+O15+O12+O11+O10+O9+O8)</f>
        <v>57.77700000000001</v>
      </c>
      <c r="P33" s="12">
        <f>SUM(P30+P29+P28+P27+P26+P25+P24+P23+P22+P21+P20+P19+P18+P15+P12+P11+P10+P9+P8)-0.001</f>
        <v>20.565685</v>
      </c>
      <c r="Q33" s="12">
        <f>SUM(C33+E33+G33+I33+K33+M33+O33)-0.002</f>
        <v>364.8382837644315</v>
      </c>
      <c r="R33" s="12">
        <f>SUM(D33+F33+H33+J33+L33+N33+P33)-0.009</f>
        <v>126.70285611670766</v>
      </c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</row>
    <row r="34" spans="2:18" ht="15">
      <c r="B34" s="3"/>
      <c r="C34" s="93"/>
      <c r="D34" s="93"/>
      <c r="E34" s="83"/>
      <c r="F34" s="94"/>
      <c r="G34" s="83"/>
      <c r="H34" s="81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4:10" ht="15">
      <c r="D35" s="132"/>
      <c r="J35" s="10"/>
    </row>
    <row r="36" ht="15">
      <c r="B36" s="7"/>
    </row>
  </sheetData>
  <mergeCells count="16">
    <mergeCell ref="C5:D5"/>
    <mergeCell ref="E5:F5"/>
    <mergeCell ref="G5:H5"/>
    <mergeCell ref="I5:J5"/>
    <mergeCell ref="K5:L5"/>
    <mergeCell ref="M5:N5"/>
    <mergeCell ref="O5:P5"/>
    <mergeCell ref="Q5:R5"/>
    <mergeCell ref="C6:D6"/>
    <mergeCell ref="E6:F6"/>
    <mergeCell ref="G6:H6"/>
    <mergeCell ref="I6:J6"/>
    <mergeCell ref="K6:L6"/>
    <mergeCell ref="M6:N6"/>
    <mergeCell ref="O6:P6"/>
    <mergeCell ref="Q6:R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0" r:id="rId1"/>
  <headerFooter alignWithMargins="0">
    <oddHeader>&amp;CPSR 2000-2006</oddHeader>
    <oddFooter>&amp;C&amp;"Arial Narrow,Normale"&amp;10&amp;F&amp;R&amp;A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T37"/>
  <sheetViews>
    <sheetView showGridLines="0" showZeros="0" tabSelected="1" workbookViewId="0" topLeftCell="I5">
      <pane ySplit="3" topLeftCell="BM22" activePane="bottomLeft" state="frozen"/>
      <selection pane="topLeft" activeCell="D15" sqref="D15"/>
      <selection pane="bottomLeft" activeCell="K29" sqref="K29"/>
    </sheetView>
  </sheetViews>
  <sheetFormatPr defaultColWidth="9.140625" defaultRowHeight="12"/>
  <cols>
    <col min="1" max="1" width="6.421875" style="1" customWidth="1"/>
    <col min="2" max="2" width="28.7109375" style="5" customWidth="1"/>
    <col min="3" max="18" width="9.8515625" style="1" customWidth="1"/>
    <col min="19" max="16384" width="9.140625" style="1" customWidth="1"/>
  </cols>
  <sheetData>
    <row r="1" ht="12.75">
      <c r="A1" s="4" t="s">
        <v>46</v>
      </c>
    </row>
    <row r="2" ht="12.75">
      <c r="A2" s="4"/>
    </row>
    <row r="3" ht="12.75">
      <c r="A3" s="35" t="s">
        <v>51</v>
      </c>
    </row>
    <row r="5" spans="1:18" s="28" customFormat="1" ht="12.75">
      <c r="A5" s="106"/>
      <c r="B5" s="107"/>
      <c r="C5" s="151" t="s">
        <v>6</v>
      </c>
      <c r="D5" s="151"/>
      <c r="E5" s="152" t="s">
        <v>6</v>
      </c>
      <c r="F5" s="151"/>
      <c r="G5" s="152" t="s">
        <v>6</v>
      </c>
      <c r="H5" s="151"/>
      <c r="I5" s="140" t="s">
        <v>6</v>
      </c>
      <c r="J5" s="141"/>
      <c r="K5" s="140" t="s">
        <v>6</v>
      </c>
      <c r="L5" s="141"/>
      <c r="M5" s="140" t="s">
        <v>6</v>
      </c>
      <c r="N5" s="141"/>
      <c r="O5" s="140" t="s">
        <v>6</v>
      </c>
      <c r="P5" s="142"/>
      <c r="Q5" s="141" t="s">
        <v>1</v>
      </c>
      <c r="R5" s="142"/>
    </row>
    <row r="6" spans="1:18" s="2" customFormat="1" ht="12.75">
      <c r="A6" s="99"/>
      <c r="B6" s="110" t="s">
        <v>0</v>
      </c>
      <c r="C6" s="150">
        <v>2000</v>
      </c>
      <c r="D6" s="150"/>
      <c r="E6" s="149">
        <v>2001</v>
      </c>
      <c r="F6" s="150"/>
      <c r="G6" s="149">
        <v>2002</v>
      </c>
      <c r="H6" s="150"/>
      <c r="I6" s="136">
        <v>2003</v>
      </c>
      <c r="J6" s="135"/>
      <c r="K6" s="136">
        <v>2004</v>
      </c>
      <c r="L6" s="137"/>
      <c r="M6" s="135">
        <v>2005</v>
      </c>
      <c r="N6" s="135"/>
      <c r="O6" s="136">
        <v>2006</v>
      </c>
      <c r="P6" s="137"/>
      <c r="Q6" s="145"/>
      <c r="R6" s="146"/>
    </row>
    <row r="7" spans="1:18" ht="25.5">
      <c r="A7" s="101"/>
      <c r="B7" s="111"/>
      <c r="C7" s="22" t="s">
        <v>2</v>
      </c>
      <c r="D7" s="19" t="s">
        <v>44</v>
      </c>
      <c r="E7" s="19" t="s">
        <v>2</v>
      </c>
      <c r="F7" s="19" t="s">
        <v>44</v>
      </c>
      <c r="G7" s="19" t="s">
        <v>2</v>
      </c>
      <c r="H7" s="19" t="s">
        <v>44</v>
      </c>
      <c r="I7" s="109" t="s">
        <v>2</v>
      </c>
      <c r="J7" s="109" t="s">
        <v>44</v>
      </c>
      <c r="K7" s="109" t="s">
        <v>2</v>
      </c>
      <c r="L7" s="109" t="s">
        <v>44</v>
      </c>
      <c r="M7" s="109" t="s">
        <v>2</v>
      </c>
      <c r="N7" s="109" t="s">
        <v>44</v>
      </c>
      <c r="O7" s="109" t="s">
        <v>2</v>
      </c>
      <c r="P7" s="109" t="s">
        <v>44</v>
      </c>
      <c r="Q7" s="109" t="s">
        <v>2</v>
      </c>
      <c r="R7" s="109" t="s">
        <v>44</v>
      </c>
    </row>
    <row r="8" spans="1:18" ht="21">
      <c r="A8" s="112">
        <v>1</v>
      </c>
      <c r="B8" s="29" t="s">
        <v>14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f>+O8+M8+K8+I8+G8+E8+C8</f>
        <v>0</v>
      </c>
      <c r="R8" s="30">
        <f>+P8+N8+L8+J8+H8+F8+D8</f>
        <v>0</v>
      </c>
    </row>
    <row r="9" spans="1:18" ht="21">
      <c r="A9" s="103">
        <v>2</v>
      </c>
      <c r="B9" s="8" t="s">
        <v>15</v>
      </c>
      <c r="C9" s="20">
        <v>0</v>
      </c>
      <c r="D9" s="20">
        <v>0</v>
      </c>
      <c r="E9" s="20">
        <v>0.583</v>
      </c>
      <c r="F9" s="20">
        <v>0.583</v>
      </c>
      <c r="G9" s="20">
        <v>0.585</v>
      </c>
      <c r="H9" s="20">
        <v>0.585</v>
      </c>
      <c r="I9" s="30">
        <v>0.581</v>
      </c>
      <c r="J9" s="30">
        <v>0.581</v>
      </c>
      <c r="K9" s="30">
        <v>0.583</v>
      </c>
      <c r="L9" s="30">
        <v>0.583</v>
      </c>
      <c r="M9" s="30">
        <v>0.583</v>
      </c>
      <c r="N9" s="30">
        <v>0.583</v>
      </c>
      <c r="O9" s="30">
        <v>0.583</v>
      </c>
      <c r="P9" s="30">
        <v>0.583</v>
      </c>
      <c r="Q9" s="30">
        <f>+O9+M9+K9+I9+G9+E9+C9+0.002</f>
        <v>3.5</v>
      </c>
      <c r="R9" s="30">
        <f>+P9+N9+L9+J9+H9+F9+D9+0.002</f>
        <v>3.5</v>
      </c>
    </row>
    <row r="10" spans="1:18" ht="12.75">
      <c r="A10" s="103">
        <v>3</v>
      </c>
      <c r="B10" s="133" t="s">
        <v>16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30">
        <v>0.3</v>
      </c>
      <c r="J10" s="30">
        <v>0.3</v>
      </c>
      <c r="K10" s="30">
        <v>0.15</v>
      </c>
      <c r="L10" s="30">
        <v>0.15</v>
      </c>
      <c r="M10" s="30">
        <v>0.15</v>
      </c>
      <c r="N10" s="30">
        <v>0.15</v>
      </c>
      <c r="O10" s="30">
        <v>0.15</v>
      </c>
      <c r="P10" s="30">
        <v>0.15</v>
      </c>
      <c r="Q10" s="161">
        <f>+O10+M10+K10+I10+G10+E10+C10</f>
        <v>0.75</v>
      </c>
      <c r="R10" s="161">
        <f>+P10+N10+L10+J10+H10+F10+D10</f>
        <v>0.75</v>
      </c>
    </row>
    <row r="11" spans="1:18" ht="21">
      <c r="A11" s="103">
        <v>4</v>
      </c>
      <c r="B11" s="133" t="s">
        <v>17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30">
        <v>0.038</v>
      </c>
      <c r="J11" s="30">
        <v>0.033</v>
      </c>
      <c r="K11" s="30">
        <v>0.014</v>
      </c>
      <c r="L11" s="30">
        <v>0.012</v>
      </c>
      <c r="M11" s="30">
        <v>0.014</v>
      </c>
      <c r="N11" s="30">
        <v>0.012</v>
      </c>
      <c r="O11" s="30">
        <v>0.014</v>
      </c>
      <c r="P11" s="30">
        <v>0.012</v>
      </c>
      <c r="Q11" s="161">
        <f>+O11+M11+K11+I11+G11+E11+C11+0.002</f>
        <v>0.082</v>
      </c>
      <c r="R11" s="161">
        <f>+P11+N11+L11+J11+H11+F11+D11+0.001</f>
        <v>0.07</v>
      </c>
    </row>
    <row r="12" spans="1:18" ht="42">
      <c r="A12" s="103" t="s">
        <v>21</v>
      </c>
      <c r="B12" s="8" t="s">
        <v>39</v>
      </c>
      <c r="C12" s="20"/>
      <c r="D12" s="20"/>
      <c r="E12" s="20"/>
      <c r="F12" s="20"/>
      <c r="G12" s="20"/>
      <c r="H12" s="2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1:18" ht="16.5" customHeight="1">
      <c r="A13" s="103" t="s">
        <v>22</v>
      </c>
      <c r="B13" s="11" t="s">
        <v>24</v>
      </c>
      <c r="C13" s="20"/>
      <c r="D13" s="20"/>
      <c r="E13" s="20"/>
      <c r="F13" s="20"/>
      <c r="G13" s="20"/>
      <c r="H13" s="2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8" ht="33.75">
      <c r="A14" s="103" t="s">
        <v>23</v>
      </c>
      <c r="B14" s="11" t="s">
        <v>40</v>
      </c>
      <c r="C14" s="20"/>
      <c r="D14" s="20"/>
      <c r="E14" s="20"/>
      <c r="F14" s="20"/>
      <c r="G14" s="20"/>
      <c r="H14" s="2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1:18" ht="52.5">
      <c r="A15" s="103" t="s">
        <v>11</v>
      </c>
      <c r="B15" s="8" t="s">
        <v>18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f>+O15+M15+K15+I15+G15+E15+C15</f>
        <v>0</v>
      </c>
      <c r="R15" s="30">
        <f>+P15+N15+L15+J15+H15+F15+D15</f>
        <v>0</v>
      </c>
    </row>
    <row r="16" spans="1:18" ht="45">
      <c r="A16" s="103" t="s">
        <v>12</v>
      </c>
      <c r="B16" s="11" t="s">
        <v>19</v>
      </c>
      <c r="C16" s="20"/>
      <c r="D16" s="20"/>
      <c r="E16" s="20"/>
      <c r="F16" s="20"/>
      <c r="G16" s="20"/>
      <c r="H16" s="2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1:18" ht="67.5">
      <c r="A17" s="103" t="s">
        <v>13</v>
      </c>
      <c r="B17" s="11" t="s">
        <v>20</v>
      </c>
      <c r="C17" s="20"/>
      <c r="D17" s="20"/>
      <c r="E17" s="20"/>
      <c r="F17" s="20"/>
      <c r="G17" s="20"/>
      <c r="H17" s="2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31.5">
      <c r="A18" s="103"/>
      <c r="B18" s="8" t="s">
        <v>7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f aca="true" t="shared" si="0" ref="Q18:R22">+O18+M18+K18+I18+G18+E18+C18</f>
        <v>0</v>
      </c>
      <c r="R18" s="30">
        <f t="shared" si="0"/>
        <v>0</v>
      </c>
    </row>
    <row r="19" spans="1:18" ht="42">
      <c r="A19" s="103">
        <v>6</v>
      </c>
      <c r="B19" s="8" t="s">
        <v>25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f t="shared" si="0"/>
        <v>0</v>
      </c>
      <c r="R19" s="30">
        <f t="shared" si="0"/>
        <v>0</v>
      </c>
    </row>
    <row r="20" spans="1:18" ht="42">
      <c r="A20" s="103">
        <v>7</v>
      </c>
      <c r="B20" s="133" t="s">
        <v>26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30">
        <v>0.051</v>
      </c>
      <c r="J20" s="30">
        <v>0.04</v>
      </c>
      <c r="K20" s="30">
        <v>0.035</v>
      </c>
      <c r="L20" s="30">
        <v>0.028</v>
      </c>
      <c r="M20" s="30">
        <v>0.035</v>
      </c>
      <c r="N20" s="30">
        <v>0.028</v>
      </c>
      <c r="O20" s="30">
        <v>0.035</v>
      </c>
      <c r="P20" s="30">
        <v>0.028</v>
      </c>
      <c r="Q20" s="161">
        <f t="shared" si="0"/>
        <v>0.156</v>
      </c>
      <c r="R20" s="161">
        <f t="shared" si="0"/>
        <v>0.124</v>
      </c>
    </row>
    <row r="21" spans="1:18" ht="12.75">
      <c r="A21" s="103">
        <v>8</v>
      </c>
      <c r="B21" s="8" t="s">
        <v>27</v>
      </c>
      <c r="C21" s="20">
        <v>0</v>
      </c>
      <c r="D21" s="20">
        <v>0</v>
      </c>
      <c r="E21" s="20">
        <v>0.065</v>
      </c>
      <c r="F21" s="20">
        <v>0.065</v>
      </c>
      <c r="G21" s="20">
        <v>0.0909</v>
      </c>
      <c r="H21" s="20">
        <v>0.0909</v>
      </c>
      <c r="I21" s="30">
        <f>0.135+0.0541</f>
        <v>0.18910000000000002</v>
      </c>
      <c r="J21" s="30">
        <f>0.135+0.0541</f>
        <v>0.18910000000000002</v>
      </c>
      <c r="K21" s="30">
        <v>0.135</v>
      </c>
      <c r="L21" s="30">
        <v>0.135</v>
      </c>
      <c r="M21" s="30">
        <v>0.135</v>
      </c>
      <c r="N21" s="30">
        <v>0.135</v>
      </c>
      <c r="O21" s="30">
        <v>0.135</v>
      </c>
      <c r="P21" s="30">
        <v>0.135</v>
      </c>
      <c r="Q21" s="30">
        <f t="shared" si="0"/>
        <v>0.75</v>
      </c>
      <c r="R21" s="30">
        <f t="shared" si="0"/>
        <v>0.75</v>
      </c>
    </row>
    <row r="22" spans="1:18" ht="52.5">
      <c r="A22" s="103">
        <v>9</v>
      </c>
      <c r="B22" s="8" t="s">
        <v>28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f t="shared" si="0"/>
        <v>0</v>
      </c>
      <c r="R22" s="30">
        <f t="shared" si="0"/>
        <v>0</v>
      </c>
    </row>
    <row r="23" spans="1:18" ht="21">
      <c r="A23" s="103">
        <v>10</v>
      </c>
      <c r="B23" s="8" t="s">
        <v>29</v>
      </c>
      <c r="C23" s="20">
        <v>0</v>
      </c>
      <c r="D23" s="20">
        <v>0</v>
      </c>
      <c r="E23" s="20">
        <v>0</v>
      </c>
      <c r="F23" s="20">
        <v>0</v>
      </c>
      <c r="G23" s="20">
        <v>0.100721</v>
      </c>
      <c r="H23" s="20">
        <v>0.0805768</v>
      </c>
      <c r="I23" s="30">
        <v>0</v>
      </c>
      <c r="J23" s="30">
        <v>0</v>
      </c>
      <c r="K23" s="30">
        <v>0.003</v>
      </c>
      <c r="L23" s="30">
        <v>0.0024</v>
      </c>
      <c r="M23" s="30">
        <v>0.041</v>
      </c>
      <c r="N23" s="30">
        <v>0.033</v>
      </c>
      <c r="O23" s="30">
        <v>0.041</v>
      </c>
      <c r="P23" s="30">
        <f>0.033+0.001</f>
        <v>0.034</v>
      </c>
      <c r="Q23" s="30">
        <f>+O23+M23+K23+I23+G23+E23+C23+0.001</f>
        <v>0.18672100000000003</v>
      </c>
      <c r="R23" s="30">
        <f>+P23+N23+L23+J23+H23+F23+D23</f>
        <v>0.14997680000000002</v>
      </c>
    </row>
    <row r="24" spans="1:18" ht="42">
      <c r="A24" s="103">
        <v>11</v>
      </c>
      <c r="B24" s="8" t="s">
        <v>30</v>
      </c>
      <c r="C24" s="20">
        <v>0</v>
      </c>
      <c r="D24" s="20">
        <v>0</v>
      </c>
      <c r="E24" s="20">
        <v>0</v>
      </c>
      <c r="F24" s="20">
        <v>0</v>
      </c>
      <c r="G24" s="20">
        <v>0.0284905</v>
      </c>
      <c r="H24" s="20">
        <v>0.0227924</v>
      </c>
      <c r="I24" s="30">
        <f>1.199+1.113</f>
        <v>2.3120000000000003</v>
      </c>
      <c r="J24" s="30">
        <f>0.959+0.89</f>
        <v>1.849</v>
      </c>
      <c r="K24" s="30">
        <v>1.199</v>
      </c>
      <c r="L24" s="30">
        <v>0.959</v>
      </c>
      <c r="M24" s="30">
        <f>0.907+0.2</f>
        <v>1.107</v>
      </c>
      <c r="N24" s="30">
        <f>0.725+0.16</f>
        <v>0.885</v>
      </c>
      <c r="O24" s="30">
        <f>0.966+0.239</f>
        <v>1.205</v>
      </c>
      <c r="P24" s="30">
        <f>0.772+0.191</f>
        <v>0.9630000000000001</v>
      </c>
      <c r="Q24" s="30">
        <f>+O24+M24+K24+I24+G24+E24+C24-0.001</f>
        <v>5.8504905</v>
      </c>
      <c r="R24" s="30">
        <f>+P24+N24+L24+J24+H24+F24+D24+0.001</f>
        <v>4.6797924</v>
      </c>
    </row>
    <row r="25" spans="1:18" ht="22.5">
      <c r="A25" s="103">
        <v>12</v>
      </c>
      <c r="B25" s="31" t="s">
        <v>31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f aca="true" t="shared" si="1" ref="Q25:R28">+O25+M25+K25+I25+G25+E25+C25</f>
        <v>0</v>
      </c>
      <c r="R25" s="30">
        <f t="shared" si="1"/>
        <v>0</v>
      </c>
    </row>
    <row r="26" spans="1:19" s="5" customFormat="1" ht="21">
      <c r="A26" s="103">
        <v>13</v>
      </c>
      <c r="B26" s="133" t="s">
        <v>32</v>
      </c>
      <c r="C26" s="20">
        <v>0</v>
      </c>
      <c r="D26" s="20">
        <v>0</v>
      </c>
      <c r="E26" s="20">
        <f>0.2262497+0.57694377</f>
        <v>0.80319347</v>
      </c>
      <c r="F26" s="20">
        <f>+E26</f>
        <v>0.80319347</v>
      </c>
      <c r="G26" s="20">
        <f>0.23563117+0.4528456</f>
        <v>0.6884767700000001</v>
      </c>
      <c r="H26" s="20">
        <f>+G26</f>
        <v>0.6884767700000001</v>
      </c>
      <c r="I26" s="9">
        <f>1.1+0.262</f>
        <v>1.362</v>
      </c>
      <c r="J26" s="9">
        <f>+I26</f>
        <v>1.362</v>
      </c>
      <c r="K26" s="9">
        <v>1.1</v>
      </c>
      <c r="L26" s="9">
        <v>1.1</v>
      </c>
      <c r="M26" s="9">
        <v>1.1</v>
      </c>
      <c r="N26" s="9">
        <v>1.1</v>
      </c>
      <c r="O26" s="9">
        <v>1.1</v>
      </c>
      <c r="P26" s="9">
        <v>1.1</v>
      </c>
      <c r="Q26" s="134">
        <f t="shared" si="1"/>
        <v>6.153670240000001</v>
      </c>
      <c r="R26" s="134">
        <f t="shared" si="1"/>
        <v>6.153670240000001</v>
      </c>
      <c r="S26" s="10"/>
    </row>
    <row r="27" spans="1:19" s="5" customFormat="1" ht="12.75">
      <c r="A27" s="103"/>
      <c r="B27" s="8" t="s">
        <v>5</v>
      </c>
      <c r="C27" s="20">
        <f>0.14899785+0.54940073</f>
        <v>0.69839858</v>
      </c>
      <c r="D27" s="20">
        <f>+C27</f>
        <v>0.69839858</v>
      </c>
      <c r="E27" s="20">
        <f>0.00326916+0.02470733</f>
        <v>0.02797649</v>
      </c>
      <c r="F27" s="20">
        <f>+E27</f>
        <v>0.02797649</v>
      </c>
      <c r="G27" s="20">
        <f>+0.020313</f>
        <v>0.020313</v>
      </c>
      <c r="H27" s="20">
        <f>+G27</f>
        <v>0.020313</v>
      </c>
      <c r="I27" s="9">
        <v>0.1</v>
      </c>
      <c r="J27" s="9">
        <v>0.1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30">
        <f t="shared" si="1"/>
        <v>0.84668807</v>
      </c>
      <c r="R27" s="30">
        <f t="shared" si="1"/>
        <v>0.84668807</v>
      </c>
      <c r="S27" s="10"/>
    </row>
    <row r="28" spans="1:19" ht="31.5">
      <c r="A28" s="103">
        <v>14</v>
      </c>
      <c r="B28" s="8" t="s">
        <v>33</v>
      </c>
      <c r="C28" s="20">
        <v>0</v>
      </c>
      <c r="D28" s="20">
        <v>0</v>
      </c>
      <c r="E28" s="20">
        <v>2.44489879</v>
      </c>
      <c r="F28" s="20">
        <f>+E28</f>
        <v>2.44489879</v>
      </c>
      <c r="G28" s="20">
        <v>1.81330271</v>
      </c>
      <c r="H28" s="20">
        <f>+G28</f>
        <v>1.81330271</v>
      </c>
      <c r="I28" s="30">
        <f>3.596+1.692</f>
        <v>5.288</v>
      </c>
      <c r="J28" s="30">
        <f>+I28</f>
        <v>5.288</v>
      </c>
      <c r="K28" s="30">
        <f>3.596+1.691</f>
        <v>5.287</v>
      </c>
      <c r="L28" s="30">
        <f>+K28</f>
        <v>5.287</v>
      </c>
      <c r="M28" s="30">
        <f>1.691+3.596</f>
        <v>5.287</v>
      </c>
      <c r="N28" s="30">
        <f>+M28</f>
        <v>5.287</v>
      </c>
      <c r="O28" s="30">
        <v>3.593</v>
      </c>
      <c r="P28" s="30">
        <f>+O28</f>
        <v>3.593</v>
      </c>
      <c r="Q28" s="30">
        <f t="shared" si="1"/>
        <v>23.713201499999997</v>
      </c>
      <c r="R28" s="30">
        <f t="shared" si="1"/>
        <v>23.713201499999997</v>
      </c>
      <c r="S28" s="13"/>
    </row>
    <row r="29" spans="1:18" ht="63">
      <c r="A29" s="103" t="s">
        <v>8</v>
      </c>
      <c r="B29" s="133" t="s">
        <v>34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30">
        <v>0.059</v>
      </c>
      <c r="J29" s="30">
        <v>0.03</v>
      </c>
      <c r="K29" s="30">
        <v>0.041</v>
      </c>
      <c r="L29" s="30">
        <v>0.021</v>
      </c>
      <c r="M29" s="30">
        <v>0.041</v>
      </c>
      <c r="N29" s="30">
        <v>0.021</v>
      </c>
      <c r="O29" s="30">
        <v>0.041</v>
      </c>
      <c r="P29" s="30">
        <v>0.021</v>
      </c>
      <c r="Q29" s="161">
        <f>+O29+M29+K29+I29+G29+E29+C29+0.001</f>
        <v>0.183</v>
      </c>
      <c r="R29" s="161">
        <f>+P29+N29+L29+J29+H29+F29+D29-0.001</f>
        <v>0.092</v>
      </c>
    </row>
    <row r="30" spans="1:18" ht="52.5">
      <c r="A30" s="103" t="s">
        <v>36</v>
      </c>
      <c r="B30" s="8" t="s">
        <v>35</v>
      </c>
      <c r="C30" s="20">
        <f aca="true" t="shared" si="2" ref="C30:P30">SUM(C31:C32)</f>
        <v>0</v>
      </c>
      <c r="D30" s="20">
        <f t="shared" si="2"/>
        <v>0</v>
      </c>
      <c r="E30" s="20">
        <f t="shared" si="2"/>
        <v>0</v>
      </c>
      <c r="F30" s="20">
        <f t="shared" si="2"/>
        <v>0</v>
      </c>
      <c r="G30" s="20">
        <f t="shared" si="2"/>
        <v>0</v>
      </c>
      <c r="H30" s="20">
        <f t="shared" si="2"/>
        <v>0</v>
      </c>
      <c r="I30" s="30">
        <f t="shared" si="2"/>
        <v>1.076</v>
      </c>
      <c r="J30" s="30">
        <f t="shared" si="2"/>
        <v>0.915</v>
      </c>
      <c r="K30" s="30">
        <f t="shared" si="2"/>
        <v>0.591</v>
      </c>
      <c r="L30" s="30">
        <f t="shared" si="2"/>
        <v>0.503</v>
      </c>
      <c r="M30" s="30">
        <f t="shared" si="2"/>
        <v>0.714</v>
      </c>
      <c r="N30" s="30">
        <f t="shared" si="2"/>
        <v>0.608</v>
      </c>
      <c r="O30" s="30">
        <f t="shared" si="2"/>
        <v>1.384</v>
      </c>
      <c r="P30" s="30">
        <f t="shared" si="2"/>
        <v>1.178</v>
      </c>
      <c r="Q30" s="30">
        <f>+O30+M30+K30+I30+G30+E30+C30-0.002</f>
        <v>3.7630000000000003</v>
      </c>
      <c r="R30" s="30">
        <f>+P30+N30+L30+J30+H30+F30+D30-0.002</f>
        <v>3.2020000000000004</v>
      </c>
    </row>
    <row r="31" spans="1:18" ht="45">
      <c r="A31" s="103" t="s">
        <v>9</v>
      </c>
      <c r="B31" s="11" t="s">
        <v>38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30">
        <f>0.541+0.535</f>
        <v>1.076</v>
      </c>
      <c r="J31" s="30">
        <f>0.46+0.455</f>
        <v>0.915</v>
      </c>
      <c r="K31" s="30">
        <v>0.591</v>
      </c>
      <c r="L31" s="30">
        <v>0.503</v>
      </c>
      <c r="M31" s="30">
        <v>0.714</v>
      </c>
      <c r="N31" s="30">
        <v>0.608</v>
      </c>
      <c r="O31" s="30">
        <f>0.757+0.627</f>
        <v>1.384</v>
      </c>
      <c r="P31" s="30">
        <f>0.644+0.534</f>
        <v>1.178</v>
      </c>
      <c r="Q31" s="30">
        <f>+O31+M31+K31+I31+G31+E31+C31-0.002</f>
        <v>3.7630000000000003</v>
      </c>
      <c r="R31" s="30">
        <f>+P31+N31+L31+J31+H31+F31+D31-0.002</f>
        <v>3.2020000000000004</v>
      </c>
    </row>
    <row r="32" spans="1:18" ht="22.5">
      <c r="A32" s="103" t="s">
        <v>10</v>
      </c>
      <c r="B32" s="11" t="s">
        <v>37</v>
      </c>
      <c r="C32" s="20"/>
      <c r="D32" s="20"/>
      <c r="E32" s="20"/>
      <c r="F32" s="20"/>
      <c r="G32" s="20"/>
      <c r="H32" s="2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1:18" s="4" customFormat="1" ht="12.75">
      <c r="A33" s="113"/>
      <c r="B33" s="14" t="s">
        <v>4</v>
      </c>
      <c r="C33" s="20">
        <f aca="true" t="shared" si="3" ref="C33:I33">SUM(C8:C30)</f>
        <v>0.69839858</v>
      </c>
      <c r="D33" s="20">
        <f t="shared" si="3"/>
        <v>0.69839858</v>
      </c>
      <c r="E33" s="20">
        <f t="shared" si="3"/>
        <v>3.9240687499999996</v>
      </c>
      <c r="F33" s="20">
        <f t="shared" si="3"/>
        <v>3.9240687499999996</v>
      </c>
      <c r="G33" s="20">
        <f t="shared" si="3"/>
        <v>3.32720398</v>
      </c>
      <c r="H33" s="20">
        <f t="shared" si="3"/>
        <v>3.3013616800000003</v>
      </c>
      <c r="I33" s="32">
        <f t="shared" si="3"/>
        <v>11.3561</v>
      </c>
      <c r="J33" s="32">
        <f>SUM(J8:J30)+0.001</f>
        <v>10.6881</v>
      </c>
      <c r="K33" s="32">
        <f aca="true" t="shared" si="4" ref="K33:R33">SUM(K8:K30)</f>
        <v>9.138</v>
      </c>
      <c r="L33" s="32">
        <f t="shared" si="4"/>
        <v>8.7804</v>
      </c>
      <c r="M33" s="32">
        <f t="shared" si="4"/>
        <v>9.207</v>
      </c>
      <c r="N33" s="32">
        <f t="shared" si="4"/>
        <v>8.842000000000002</v>
      </c>
      <c r="O33" s="32">
        <f t="shared" si="4"/>
        <v>8.281</v>
      </c>
      <c r="P33" s="32">
        <f t="shared" si="4"/>
        <v>7.797000000000001</v>
      </c>
      <c r="Q33" s="32">
        <f>SUM(Q8:Q30)-0.001</f>
        <v>45.93377131</v>
      </c>
      <c r="R33" s="32">
        <f t="shared" si="4"/>
        <v>44.03132900999999</v>
      </c>
    </row>
    <row r="34" spans="2:18" ht="12.75">
      <c r="B34" s="6"/>
      <c r="C34" s="33"/>
      <c r="D34" s="33"/>
      <c r="E34" s="33"/>
      <c r="F34" s="33"/>
      <c r="G34" s="17"/>
      <c r="H34" s="17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5:18" ht="12.75"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2:17" ht="12.75">
      <c r="B36" s="34"/>
      <c r="Q36" s="13"/>
    </row>
    <row r="37" spans="3:20" ht="12.75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</sheetData>
  <mergeCells count="16">
    <mergeCell ref="C5:D5"/>
    <mergeCell ref="E5:F5"/>
    <mergeCell ref="M5:N5"/>
    <mergeCell ref="O5:P5"/>
    <mergeCell ref="G5:H5"/>
    <mergeCell ref="K5:L5"/>
    <mergeCell ref="G6:H6"/>
    <mergeCell ref="Q5:R5"/>
    <mergeCell ref="C6:D6"/>
    <mergeCell ref="E6:F6"/>
    <mergeCell ref="I6:J6"/>
    <mergeCell ref="K6:L6"/>
    <mergeCell ref="M6:N6"/>
    <mergeCell ref="O6:P6"/>
    <mergeCell ref="Q6:R6"/>
    <mergeCell ref="I5:J5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0" r:id="rId1"/>
  <headerFooter alignWithMargins="0">
    <oddHeader>&amp;CPSR 2000-2006</oddHeader>
    <oddFooter>&amp;C&amp;"Arial Narrow,Normale"&amp;10&amp;F&amp;R&amp;A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S36"/>
  <sheetViews>
    <sheetView showGridLines="0" showZeros="0" workbookViewId="0" topLeftCell="A5">
      <pane ySplit="3" topLeftCell="BM14" activePane="bottomLeft" state="frozen"/>
      <selection pane="topLeft" activeCell="D15" sqref="D15"/>
      <selection pane="bottomLeft" activeCell="G16" sqref="G16"/>
    </sheetView>
  </sheetViews>
  <sheetFormatPr defaultColWidth="9.140625" defaultRowHeight="12"/>
  <cols>
    <col min="1" max="1" width="6.421875" style="1" customWidth="1"/>
    <col min="2" max="2" width="28.7109375" style="5" customWidth="1"/>
    <col min="3" max="18" width="9.8515625" style="1" customWidth="1"/>
    <col min="19" max="16384" width="9.140625" style="1" customWidth="1"/>
  </cols>
  <sheetData>
    <row r="1" ht="12.75">
      <c r="A1" s="4" t="s">
        <v>46</v>
      </c>
    </row>
    <row r="2" ht="12.75">
      <c r="A2" s="4"/>
    </row>
    <row r="3" ht="12.75">
      <c r="A3" s="35" t="s">
        <v>52</v>
      </c>
    </row>
    <row r="5" spans="1:18" s="28" customFormat="1" ht="12.75">
      <c r="A5" s="106"/>
      <c r="B5" s="107"/>
      <c r="C5" s="151" t="s">
        <v>6</v>
      </c>
      <c r="D5" s="151"/>
      <c r="E5" s="152" t="s">
        <v>6</v>
      </c>
      <c r="F5" s="151"/>
      <c r="G5" s="152" t="s">
        <v>6</v>
      </c>
      <c r="H5" s="151"/>
      <c r="I5" s="140" t="s">
        <v>6</v>
      </c>
      <c r="J5" s="141"/>
      <c r="K5" s="140" t="s">
        <v>6</v>
      </c>
      <c r="L5" s="141"/>
      <c r="M5" s="140" t="s">
        <v>6</v>
      </c>
      <c r="N5" s="141"/>
      <c r="O5" s="140" t="s">
        <v>6</v>
      </c>
      <c r="P5" s="142"/>
      <c r="Q5" s="141" t="s">
        <v>1</v>
      </c>
      <c r="R5" s="142"/>
    </row>
    <row r="6" spans="1:18" s="2" customFormat="1" ht="12.75">
      <c r="A6" s="99"/>
      <c r="B6" s="110" t="s">
        <v>0</v>
      </c>
      <c r="C6" s="150">
        <v>2000</v>
      </c>
      <c r="D6" s="150"/>
      <c r="E6" s="149">
        <v>2001</v>
      </c>
      <c r="F6" s="150"/>
      <c r="G6" s="149">
        <v>2002</v>
      </c>
      <c r="H6" s="150"/>
      <c r="I6" s="136">
        <v>2003</v>
      </c>
      <c r="J6" s="135"/>
      <c r="K6" s="136">
        <v>2004</v>
      </c>
      <c r="L6" s="137"/>
      <c r="M6" s="135">
        <v>2005</v>
      </c>
      <c r="N6" s="135"/>
      <c r="O6" s="136">
        <v>2006</v>
      </c>
      <c r="P6" s="137"/>
      <c r="Q6" s="145"/>
      <c r="R6" s="146"/>
    </row>
    <row r="7" spans="1:18" ht="38.25">
      <c r="A7" s="101"/>
      <c r="B7" s="111"/>
      <c r="C7" s="22" t="s">
        <v>41</v>
      </c>
      <c r="D7" s="19" t="s">
        <v>44</v>
      </c>
      <c r="E7" s="22" t="s">
        <v>41</v>
      </c>
      <c r="F7" s="19" t="s">
        <v>44</v>
      </c>
      <c r="G7" s="22" t="s">
        <v>41</v>
      </c>
      <c r="H7" s="19" t="s">
        <v>44</v>
      </c>
      <c r="I7" s="108" t="s">
        <v>41</v>
      </c>
      <c r="J7" s="109" t="s">
        <v>44</v>
      </c>
      <c r="K7" s="108" t="s">
        <v>41</v>
      </c>
      <c r="L7" s="109" t="s">
        <v>44</v>
      </c>
      <c r="M7" s="108" t="s">
        <v>41</v>
      </c>
      <c r="N7" s="109" t="s">
        <v>44</v>
      </c>
      <c r="O7" s="108" t="s">
        <v>41</v>
      </c>
      <c r="P7" s="109" t="s">
        <v>44</v>
      </c>
      <c r="Q7" s="108" t="s">
        <v>41</v>
      </c>
      <c r="R7" s="109" t="s">
        <v>44</v>
      </c>
    </row>
    <row r="8" spans="1:18" ht="21">
      <c r="A8" s="112">
        <v>1</v>
      </c>
      <c r="B8" s="29" t="s">
        <v>14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f>+O8+M8+K8+I8+G8+E8+C8</f>
        <v>0</v>
      </c>
      <c r="R8" s="30">
        <f>+P8+N8+L8+J8+H8+F8+D8</f>
        <v>0</v>
      </c>
    </row>
    <row r="9" spans="1:18" ht="21">
      <c r="A9" s="103">
        <v>2</v>
      </c>
      <c r="B9" s="8" t="s">
        <v>15</v>
      </c>
      <c r="C9" s="20">
        <v>0</v>
      </c>
      <c r="D9" s="20">
        <v>0</v>
      </c>
      <c r="E9" s="20">
        <v>0.583</v>
      </c>
      <c r="F9" s="20">
        <v>0.583</v>
      </c>
      <c r="G9" s="20">
        <v>0.585</v>
      </c>
      <c r="H9" s="20">
        <v>0.585</v>
      </c>
      <c r="I9" s="30">
        <v>0.581</v>
      </c>
      <c r="J9" s="30">
        <v>0.581</v>
      </c>
      <c r="K9" s="30">
        <v>0.583</v>
      </c>
      <c r="L9" s="30">
        <v>0.583</v>
      </c>
      <c r="M9" s="30">
        <v>0.583</v>
      </c>
      <c r="N9" s="30">
        <v>0.583</v>
      </c>
      <c r="O9" s="30">
        <v>0.583</v>
      </c>
      <c r="P9" s="30">
        <v>0.583</v>
      </c>
      <c r="Q9" s="30">
        <f>+O9+M9+K9+I9+G9+E9+C9+0.002</f>
        <v>3.5</v>
      </c>
      <c r="R9" s="30">
        <f>+P9+N9+L9+J9+H9+F9+D9+0.002</f>
        <v>3.5</v>
      </c>
    </row>
    <row r="10" spans="1:18" ht="12.75">
      <c r="A10" s="103">
        <v>3</v>
      </c>
      <c r="B10" s="8" t="s">
        <v>16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30">
        <v>0.3</v>
      </c>
      <c r="J10" s="30">
        <v>0.3</v>
      </c>
      <c r="K10" s="30">
        <v>0.15</v>
      </c>
      <c r="L10" s="30">
        <v>0.15</v>
      </c>
      <c r="M10" s="30">
        <v>0.15</v>
      </c>
      <c r="N10" s="30">
        <v>0.15</v>
      </c>
      <c r="O10" s="30">
        <v>0.15</v>
      </c>
      <c r="P10" s="30">
        <v>0.15</v>
      </c>
      <c r="Q10" s="30">
        <f>+O10+M10+K10+I10+G10+E10+C10</f>
        <v>0.75</v>
      </c>
      <c r="R10" s="30">
        <f>+P10+N10+L10+J10+H10+F10+D10</f>
        <v>0.75</v>
      </c>
    </row>
    <row r="11" spans="1:18" ht="21">
      <c r="A11" s="103">
        <v>4</v>
      </c>
      <c r="B11" s="8" t="s">
        <v>17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30">
        <v>0.033</v>
      </c>
      <c r="J11" s="30">
        <v>0.033</v>
      </c>
      <c r="K11" s="30">
        <v>0.012</v>
      </c>
      <c r="L11" s="30">
        <v>0.012</v>
      </c>
      <c r="M11" s="30">
        <v>0.012</v>
      </c>
      <c r="N11" s="30">
        <v>0.012</v>
      </c>
      <c r="O11" s="30">
        <v>0.012</v>
      </c>
      <c r="P11" s="30">
        <v>0.012</v>
      </c>
      <c r="Q11" s="30">
        <f>+O11+M11+K11+I11+G11+E11+C11+0.001</f>
        <v>0.07</v>
      </c>
      <c r="R11" s="30">
        <f>+P11+N11+L11+J11+H11+F11+D11+0.001</f>
        <v>0.07</v>
      </c>
    </row>
    <row r="12" spans="1:18" ht="42">
      <c r="A12" s="103" t="s">
        <v>21</v>
      </c>
      <c r="B12" s="8" t="s">
        <v>39</v>
      </c>
      <c r="C12" s="20"/>
      <c r="D12" s="20"/>
      <c r="E12" s="20"/>
      <c r="F12" s="20"/>
      <c r="G12" s="20"/>
      <c r="H12" s="2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1:18" ht="16.5" customHeight="1">
      <c r="A13" s="114" t="s">
        <v>22</v>
      </c>
      <c r="B13" s="11" t="s">
        <v>24</v>
      </c>
      <c r="C13" s="20"/>
      <c r="D13" s="20"/>
      <c r="E13" s="20"/>
      <c r="F13" s="20"/>
      <c r="G13" s="20"/>
      <c r="H13" s="2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8" ht="33.75">
      <c r="A14" s="114" t="s">
        <v>23</v>
      </c>
      <c r="B14" s="11" t="s">
        <v>40</v>
      </c>
      <c r="C14" s="20"/>
      <c r="D14" s="20"/>
      <c r="E14" s="20"/>
      <c r="F14" s="20"/>
      <c r="G14" s="20"/>
      <c r="H14" s="2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1:18" ht="52.5">
      <c r="A15" s="103" t="s">
        <v>11</v>
      </c>
      <c r="B15" s="8" t="s">
        <v>18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f>+O15+M15+K15+I15+G15+E15+C15</f>
        <v>0</v>
      </c>
      <c r="R15" s="30">
        <f>+P15+N15+L15+J15+H15+F15+D15</f>
        <v>0</v>
      </c>
    </row>
    <row r="16" spans="1:18" ht="45">
      <c r="A16" s="114" t="s">
        <v>12</v>
      </c>
      <c r="B16" s="11" t="s">
        <v>19</v>
      </c>
      <c r="C16" s="20"/>
      <c r="D16" s="20"/>
      <c r="E16" s="20"/>
      <c r="F16" s="20"/>
      <c r="G16" s="20"/>
      <c r="H16" s="2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1:18" ht="67.5">
      <c r="A17" s="114" t="s">
        <v>13</v>
      </c>
      <c r="B17" s="11" t="s">
        <v>20</v>
      </c>
      <c r="C17" s="20"/>
      <c r="D17" s="20"/>
      <c r="E17" s="20"/>
      <c r="F17" s="20"/>
      <c r="G17" s="20"/>
      <c r="H17" s="2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31.5">
      <c r="A18" s="115"/>
      <c r="B18" s="8" t="s">
        <v>7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f aca="true" t="shared" si="0" ref="Q18:R23">+O18+M18+K18+I18+G18+E18+C18</f>
        <v>0</v>
      </c>
      <c r="R18" s="30">
        <f t="shared" si="0"/>
        <v>0</v>
      </c>
    </row>
    <row r="19" spans="1:18" ht="42">
      <c r="A19" s="115">
        <v>6</v>
      </c>
      <c r="B19" s="8" t="s">
        <v>25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f t="shared" si="0"/>
        <v>0</v>
      </c>
      <c r="R19" s="30">
        <f t="shared" si="0"/>
        <v>0</v>
      </c>
    </row>
    <row r="20" spans="1:18" ht="42">
      <c r="A20" s="115">
        <v>7</v>
      </c>
      <c r="B20" s="8" t="s">
        <v>26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30">
        <v>0.04</v>
      </c>
      <c r="J20" s="30">
        <v>0.04</v>
      </c>
      <c r="K20" s="30">
        <v>0.028</v>
      </c>
      <c r="L20" s="30">
        <v>0.028</v>
      </c>
      <c r="M20" s="30">
        <v>0.028</v>
      </c>
      <c r="N20" s="30">
        <v>0.028</v>
      </c>
      <c r="O20" s="30">
        <v>0.028</v>
      </c>
      <c r="P20" s="30">
        <v>0.028</v>
      </c>
      <c r="Q20" s="30">
        <f t="shared" si="0"/>
        <v>0.124</v>
      </c>
      <c r="R20" s="30">
        <f t="shared" si="0"/>
        <v>0.124</v>
      </c>
    </row>
    <row r="21" spans="1:18" ht="12.75">
      <c r="A21" s="115">
        <v>8</v>
      </c>
      <c r="B21" s="8" t="s">
        <v>27</v>
      </c>
      <c r="C21" s="20">
        <v>0</v>
      </c>
      <c r="D21" s="20">
        <v>0</v>
      </c>
      <c r="E21" s="20">
        <v>0.065</v>
      </c>
      <c r="F21" s="20">
        <v>0.065</v>
      </c>
      <c r="G21" s="20">
        <v>0.0909</v>
      </c>
      <c r="H21" s="20">
        <v>0.0909</v>
      </c>
      <c r="I21" s="30">
        <f>0.135+0.0541</f>
        <v>0.18910000000000002</v>
      </c>
      <c r="J21" s="30">
        <f>0.135+0.0541</f>
        <v>0.18910000000000002</v>
      </c>
      <c r="K21" s="30">
        <v>0.135</v>
      </c>
      <c r="L21" s="30">
        <v>0.135</v>
      </c>
      <c r="M21" s="30">
        <v>0.135</v>
      </c>
      <c r="N21" s="30">
        <v>0.135</v>
      </c>
      <c r="O21" s="30">
        <v>0.135</v>
      </c>
      <c r="P21" s="30">
        <v>0.135</v>
      </c>
      <c r="Q21" s="30">
        <f t="shared" si="0"/>
        <v>0.75</v>
      </c>
      <c r="R21" s="30">
        <f t="shared" si="0"/>
        <v>0.75</v>
      </c>
    </row>
    <row r="22" spans="1:18" ht="52.5">
      <c r="A22" s="115">
        <v>9</v>
      </c>
      <c r="B22" s="8" t="s">
        <v>28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f t="shared" si="0"/>
        <v>0</v>
      </c>
      <c r="R22" s="30">
        <f t="shared" si="0"/>
        <v>0</v>
      </c>
    </row>
    <row r="23" spans="1:18" ht="21">
      <c r="A23" s="115">
        <v>10</v>
      </c>
      <c r="B23" s="8" t="s">
        <v>29</v>
      </c>
      <c r="C23" s="20">
        <v>0</v>
      </c>
      <c r="D23" s="20">
        <v>0</v>
      </c>
      <c r="E23" s="20">
        <v>0</v>
      </c>
      <c r="F23" s="20">
        <v>0</v>
      </c>
      <c r="G23" s="20">
        <v>0.0805768</v>
      </c>
      <c r="H23" s="20">
        <v>0.0805768</v>
      </c>
      <c r="I23" s="30">
        <v>0</v>
      </c>
      <c r="J23" s="30">
        <v>0</v>
      </c>
      <c r="K23" s="30">
        <v>0.0024</v>
      </c>
      <c r="L23" s="30">
        <v>0.0024</v>
      </c>
      <c r="M23" s="30">
        <v>0.033</v>
      </c>
      <c r="N23" s="30">
        <v>0.033</v>
      </c>
      <c r="O23" s="30">
        <v>0.034</v>
      </c>
      <c r="P23" s="30">
        <v>0.034</v>
      </c>
      <c r="Q23" s="30">
        <f t="shared" si="0"/>
        <v>0.14997680000000002</v>
      </c>
      <c r="R23" s="30">
        <f t="shared" si="0"/>
        <v>0.14997680000000002</v>
      </c>
    </row>
    <row r="24" spans="1:18" ht="42">
      <c r="A24" s="115">
        <v>11</v>
      </c>
      <c r="B24" s="8" t="s">
        <v>30</v>
      </c>
      <c r="C24" s="20">
        <v>0</v>
      </c>
      <c r="D24" s="20">
        <v>0</v>
      </c>
      <c r="E24" s="20">
        <v>0</v>
      </c>
      <c r="F24" s="20">
        <v>0</v>
      </c>
      <c r="G24" s="20">
        <v>0.0227924</v>
      </c>
      <c r="H24" s="20">
        <v>0.0227924</v>
      </c>
      <c r="I24" s="30">
        <v>1.849</v>
      </c>
      <c r="J24" s="30">
        <v>1.849</v>
      </c>
      <c r="K24" s="30">
        <v>0.959</v>
      </c>
      <c r="L24" s="30">
        <v>0.959</v>
      </c>
      <c r="M24" s="30">
        <f>0.725+0.16</f>
        <v>0.885</v>
      </c>
      <c r="N24" s="30">
        <f>0.725+0.16</f>
        <v>0.885</v>
      </c>
      <c r="O24" s="30">
        <f>0.772+0.191</f>
        <v>0.9630000000000001</v>
      </c>
      <c r="P24" s="30">
        <f>0.772+0.191</f>
        <v>0.9630000000000001</v>
      </c>
      <c r="Q24" s="30">
        <f>+O24+M24+K24+I24+G24+E24+C24+0.001</f>
        <v>4.6797924</v>
      </c>
      <c r="R24" s="30">
        <f>+P24+N24+L24+J24+H24+F24+D24+0.001</f>
        <v>4.6797924</v>
      </c>
    </row>
    <row r="25" spans="1:18" ht="22.5">
      <c r="A25" s="115">
        <v>12</v>
      </c>
      <c r="B25" s="31" t="s">
        <v>31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f aca="true" t="shared" si="1" ref="Q25:R28">+O25+M25+K25+I25+G25+E25+C25</f>
        <v>0</v>
      </c>
      <c r="R25" s="30">
        <f t="shared" si="1"/>
        <v>0</v>
      </c>
    </row>
    <row r="26" spans="1:19" s="5" customFormat="1" ht="21">
      <c r="A26" s="115">
        <v>13</v>
      </c>
      <c r="B26" s="8" t="s">
        <v>32</v>
      </c>
      <c r="C26" s="20">
        <v>0</v>
      </c>
      <c r="D26" s="20">
        <v>0</v>
      </c>
      <c r="E26" s="20">
        <f>0.2262497+0.57694377</f>
        <v>0.80319347</v>
      </c>
      <c r="F26" s="20">
        <f>+E26</f>
        <v>0.80319347</v>
      </c>
      <c r="G26" s="20">
        <f>0.23563117+0.4528456</f>
        <v>0.6884767700000001</v>
      </c>
      <c r="H26" s="20">
        <f>+G26</f>
        <v>0.6884767700000001</v>
      </c>
      <c r="I26" s="9">
        <f>1.1+0.262</f>
        <v>1.362</v>
      </c>
      <c r="J26" s="9">
        <f>+I26</f>
        <v>1.362</v>
      </c>
      <c r="K26" s="9">
        <v>1.1</v>
      </c>
      <c r="L26" s="9">
        <v>1.1</v>
      </c>
      <c r="M26" s="9">
        <v>1.1</v>
      </c>
      <c r="N26" s="9">
        <v>1.1</v>
      </c>
      <c r="O26" s="9">
        <v>1.1</v>
      </c>
      <c r="P26" s="9">
        <v>1.1</v>
      </c>
      <c r="Q26" s="30">
        <f t="shared" si="1"/>
        <v>6.153670240000001</v>
      </c>
      <c r="R26" s="30">
        <f t="shared" si="1"/>
        <v>6.153670240000001</v>
      </c>
      <c r="S26" s="10"/>
    </row>
    <row r="27" spans="1:18" s="5" customFormat="1" ht="12.75">
      <c r="A27" s="115"/>
      <c r="B27" s="8" t="s">
        <v>5</v>
      </c>
      <c r="C27" s="20">
        <f>0.14899785+0.54940073</f>
        <v>0.69839858</v>
      </c>
      <c r="D27" s="20">
        <f>+C27</f>
        <v>0.69839858</v>
      </c>
      <c r="E27" s="20">
        <f>0.00326916+0.02470733</f>
        <v>0.02797649</v>
      </c>
      <c r="F27" s="20">
        <f>+E27</f>
        <v>0.02797649</v>
      </c>
      <c r="G27" s="20">
        <f>+0.020313</f>
        <v>0.020313</v>
      </c>
      <c r="H27" s="20">
        <f>+G27</f>
        <v>0.020313</v>
      </c>
      <c r="I27" s="9">
        <v>0.1</v>
      </c>
      <c r="J27" s="9">
        <v>0.1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30">
        <f t="shared" si="1"/>
        <v>0.84668807</v>
      </c>
      <c r="R27" s="30">
        <f t="shared" si="1"/>
        <v>0.84668807</v>
      </c>
    </row>
    <row r="28" spans="1:18" ht="31.5">
      <c r="A28" s="115">
        <v>14</v>
      </c>
      <c r="B28" s="8" t="s">
        <v>33</v>
      </c>
      <c r="C28" s="20">
        <v>0</v>
      </c>
      <c r="D28" s="20">
        <v>0</v>
      </c>
      <c r="E28" s="20">
        <v>2.44489879</v>
      </c>
      <c r="F28" s="20">
        <f>+E28</f>
        <v>2.44489879</v>
      </c>
      <c r="G28" s="20">
        <v>1.81330271</v>
      </c>
      <c r="H28" s="20">
        <f>+G28</f>
        <v>1.81330271</v>
      </c>
      <c r="I28" s="30">
        <v>5.288</v>
      </c>
      <c r="J28" s="30">
        <f>+I28</f>
        <v>5.288</v>
      </c>
      <c r="K28" s="30">
        <v>5.287</v>
      </c>
      <c r="L28" s="30">
        <f>+K28</f>
        <v>5.287</v>
      </c>
      <c r="M28" s="30">
        <v>5.287</v>
      </c>
      <c r="N28" s="30">
        <f>+M28</f>
        <v>5.287</v>
      </c>
      <c r="O28" s="30">
        <v>3.593</v>
      </c>
      <c r="P28" s="30">
        <f>+O28</f>
        <v>3.593</v>
      </c>
      <c r="Q28" s="30">
        <f t="shared" si="1"/>
        <v>23.713201499999997</v>
      </c>
      <c r="R28" s="30">
        <f t="shared" si="1"/>
        <v>23.713201499999997</v>
      </c>
    </row>
    <row r="29" spans="1:18" ht="63">
      <c r="A29" s="115" t="s">
        <v>8</v>
      </c>
      <c r="B29" s="8" t="s">
        <v>34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30">
        <v>0.03</v>
      </c>
      <c r="J29" s="30">
        <v>0.03</v>
      </c>
      <c r="K29" s="30">
        <v>0.021</v>
      </c>
      <c r="L29" s="30">
        <v>0.021</v>
      </c>
      <c r="M29" s="30">
        <v>0.021</v>
      </c>
      <c r="N29" s="30">
        <v>0.021</v>
      </c>
      <c r="O29" s="30">
        <v>0.021</v>
      </c>
      <c r="P29" s="30">
        <v>0.021</v>
      </c>
      <c r="Q29" s="30">
        <f>+O29+M29+K29+I29+G29+E29+C29-0.001</f>
        <v>0.092</v>
      </c>
      <c r="R29" s="30">
        <f>+P29+N29+L29+J29+H29+F29+D29-0.001</f>
        <v>0.092</v>
      </c>
    </row>
    <row r="30" spans="1:18" ht="52.5">
      <c r="A30" s="115" t="s">
        <v>36</v>
      </c>
      <c r="B30" s="8" t="s">
        <v>35</v>
      </c>
      <c r="C30" s="20">
        <f aca="true" t="shared" si="2" ref="C30:P30">SUM(C31:C32)</f>
        <v>0</v>
      </c>
      <c r="D30" s="20">
        <f t="shared" si="2"/>
        <v>0</v>
      </c>
      <c r="E30" s="20">
        <f t="shared" si="2"/>
        <v>0</v>
      </c>
      <c r="F30" s="20">
        <f t="shared" si="2"/>
        <v>0</v>
      </c>
      <c r="G30" s="20">
        <f t="shared" si="2"/>
        <v>0</v>
      </c>
      <c r="H30" s="20">
        <f t="shared" si="2"/>
        <v>0</v>
      </c>
      <c r="I30" s="30">
        <f t="shared" si="2"/>
        <v>0.915</v>
      </c>
      <c r="J30" s="30">
        <f t="shared" si="2"/>
        <v>0.915</v>
      </c>
      <c r="K30" s="30">
        <f t="shared" si="2"/>
        <v>0.503</v>
      </c>
      <c r="L30" s="30">
        <f t="shared" si="2"/>
        <v>0.503</v>
      </c>
      <c r="M30" s="30">
        <f t="shared" si="2"/>
        <v>0.608</v>
      </c>
      <c r="N30" s="30">
        <f t="shared" si="2"/>
        <v>0.608</v>
      </c>
      <c r="O30" s="30">
        <f t="shared" si="2"/>
        <v>1.178</v>
      </c>
      <c r="P30" s="30">
        <f t="shared" si="2"/>
        <v>1.178</v>
      </c>
      <c r="Q30" s="30">
        <f>+O30+M30+K30+I30+G30+E30+C30-0.002</f>
        <v>3.2020000000000004</v>
      </c>
      <c r="R30" s="30">
        <f>+P30+N30+L30+J30+H30+F30+D30-0.002</f>
        <v>3.2020000000000004</v>
      </c>
    </row>
    <row r="31" spans="1:18" ht="45">
      <c r="A31" s="115" t="s">
        <v>9</v>
      </c>
      <c r="B31" s="11" t="s">
        <v>38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30">
        <f>0.46+0.455</f>
        <v>0.915</v>
      </c>
      <c r="J31" s="30">
        <f>0.46+0.455</f>
        <v>0.915</v>
      </c>
      <c r="K31" s="30">
        <v>0.503</v>
      </c>
      <c r="L31" s="30">
        <v>0.503</v>
      </c>
      <c r="M31" s="30">
        <v>0.608</v>
      </c>
      <c r="N31" s="30">
        <v>0.608</v>
      </c>
      <c r="O31" s="30">
        <f>0.644+0.534</f>
        <v>1.178</v>
      </c>
      <c r="P31" s="30">
        <f>0.644+0.534</f>
        <v>1.178</v>
      </c>
      <c r="Q31" s="30">
        <f>+O31+M31+K31+I31+G31+E31+C31-0.002</f>
        <v>3.2020000000000004</v>
      </c>
      <c r="R31" s="30">
        <f>+P31+N31+L31+J31+H31+F31+D31-0.002</f>
        <v>3.2020000000000004</v>
      </c>
    </row>
    <row r="32" spans="1:18" ht="22.5">
      <c r="A32" s="115" t="s">
        <v>10</v>
      </c>
      <c r="B32" s="11" t="s">
        <v>37</v>
      </c>
      <c r="C32" s="20"/>
      <c r="D32" s="20"/>
      <c r="E32" s="20"/>
      <c r="F32" s="20"/>
      <c r="G32" s="20"/>
      <c r="H32" s="2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1:18" s="4" customFormat="1" ht="12.75">
      <c r="A33" s="113"/>
      <c r="B33" s="14" t="s">
        <v>4</v>
      </c>
      <c r="C33" s="20">
        <f aca="true" t="shared" si="3" ref="C33:H33">+C30+C29+C28+C27+C26+C25+C24+C23+C22+C21+C20+C19+C18+C15+C12+C11+C10+C9+C8</f>
        <v>0.69839858</v>
      </c>
      <c r="D33" s="20">
        <f t="shared" si="3"/>
        <v>0.69839858</v>
      </c>
      <c r="E33" s="20">
        <f t="shared" si="3"/>
        <v>3.92406875</v>
      </c>
      <c r="F33" s="20">
        <f t="shared" si="3"/>
        <v>3.92406875</v>
      </c>
      <c r="G33" s="20">
        <f t="shared" si="3"/>
        <v>3.3013616800000007</v>
      </c>
      <c r="H33" s="20">
        <f t="shared" si="3"/>
        <v>3.3013616800000007</v>
      </c>
      <c r="I33" s="32">
        <f>+I30+I29+I28+I27+I26+I25+I24+I23+I22+I21+I20+I19+I18+I15+I12+I11+I10+I9+I8+0.001</f>
        <v>10.688099999999999</v>
      </c>
      <c r="J33" s="32">
        <f>+J30+J29+J28+J27+J26+J25+J24+J23+J22+J21+J20+J19+J18+J15+J12+J11+J10+J9+J8+0.001</f>
        <v>10.688099999999999</v>
      </c>
      <c r="K33" s="32">
        <f aca="true" t="shared" si="4" ref="K33:R33">+K30+K29+K28+K27+K26+K25+K24+K23+K22+K21+K20+K19+K18+K15+K12+K11+K10+K9+K8</f>
        <v>8.7804</v>
      </c>
      <c r="L33" s="32">
        <f t="shared" si="4"/>
        <v>8.7804</v>
      </c>
      <c r="M33" s="32">
        <f t="shared" si="4"/>
        <v>8.842000000000002</v>
      </c>
      <c r="N33" s="32">
        <f t="shared" si="4"/>
        <v>8.842000000000002</v>
      </c>
      <c r="O33" s="32">
        <f t="shared" si="4"/>
        <v>7.796999999999999</v>
      </c>
      <c r="P33" s="32">
        <f t="shared" si="4"/>
        <v>7.796999999999999</v>
      </c>
      <c r="Q33" s="32">
        <f t="shared" si="4"/>
        <v>44.03132901</v>
      </c>
      <c r="R33" s="32">
        <f t="shared" si="4"/>
        <v>44.03132901</v>
      </c>
    </row>
    <row r="34" spans="2:18" ht="12.75">
      <c r="B34" s="6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6" ht="12.75">
      <c r="B36" s="34"/>
    </row>
  </sheetData>
  <mergeCells count="16">
    <mergeCell ref="C5:D5"/>
    <mergeCell ref="E5:F5"/>
    <mergeCell ref="G5:H5"/>
    <mergeCell ref="I5:J5"/>
    <mergeCell ref="K5:L5"/>
    <mergeCell ref="M5:N5"/>
    <mergeCell ref="O5:P5"/>
    <mergeCell ref="Q5:R5"/>
    <mergeCell ref="C6:D6"/>
    <mergeCell ref="E6:F6"/>
    <mergeCell ref="G6:H6"/>
    <mergeCell ref="I6:J6"/>
    <mergeCell ref="K6:L6"/>
    <mergeCell ref="M6:N6"/>
    <mergeCell ref="O6:P6"/>
    <mergeCell ref="Q6:R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59" r:id="rId1"/>
  <headerFooter alignWithMargins="0">
    <oddHeader>&amp;CPSR 2000-2006</oddHeader>
    <oddFooter>&amp;C&amp;"Arial Narrow,Normale"&amp;10&amp;F&amp;R&amp;A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showGridLines="0" showZeros="0" workbookViewId="0" topLeftCell="A1">
      <pane ySplit="3" topLeftCell="BM4" activePane="bottomLeft" state="frozen"/>
      <selection pane="topLeft" activeCell="D15" sqref="D15"/>
      <selection pane="bottomLeft" activeCell="D15" sqref="D15"/>
    </sheetView>
  </sheetViews>
  <sheetFormatPr defaultColWidth="9.140625" defaultRowHeight="12"/>
  <cols>
    <col min="1" max="1" width="6.421875" style="56" bestFit="1" customWidth="1"/>
    <col min="2" max="2" width="4.140625" style="56" bestFit="1" customWidth="1"/>
    <col min="3" max="3" width="19.140625" style="61" customWidth="1"/>
    <col min="4" max="4" width="7.140625" style="0" bestFit="1" customWidth="1"/>
    <col min="5" max="5" width="7.8515625" style="0" bestFit="1" customWidth="1"/>
    <col min="6" max="6" width="6.00390625" style="0" bestFit="1" customWidth="1"/>
    <col min="7" max="7" width="7.140625" style="26" bestFit="1" customWidth="1"/>
    <col min="8" max="8" width="7.8515625" style="26" bestFit="1" customWidth="1"/>
    <col min="9" max="10" width="7.140625" style="26" bestFit="1" customWidth="1"/>
    <col min="11" max="11" width="7.8515625" style="26" bestFit="1" customWidth="1"/>
    <col min="12" max="13" width="7.140625" style="26" bestFit="1" customWidth="1"/>
    <col min="14" max="14" width="7.8515625" style="26" bestFit="1" customWidth="1"/>
    <col min="15" max="16" width="7.140625" style="26" bestFit="1" customWidth="1"/>
    <col min="17" max="17" width="7.8515625" style="26" bestFit="1" customWidth="1"/>
    <col min="18" max="19" width="7.140625" style="26" bestFit="1" customWidth="1"/>
    <col min="20" max="20" width="7.8515625" style="26" bestFit="1" customWidth="1"/>
    <col min="21" max="22" width="7.140625" style="26" bestFit="1" customWidth="1"/>
    <col min="23" max="23" width="7.8515625" style="26" bestFit="1" customWidth="1"/>
    <col min="24" max="24" width="7.140625" style="26" bestFit="1" customWidth="1"/>
    <col min="25" max="26" width="8.140625" style="26" bestFit="1" customWidth="1"/>
    <col min="27" max="27" width="7.421875" style="26" bestFit="1" customWidth="1"/>
    <col min="28" max="28" width="7.7109375" style="38" customWidth="1"/>
    <col min="29" max="29" width="8.57421875" style="38" customWidth="1"/>
  </cols>
  <sheetData>
    <row r="1" spans="1:29" s="41" customFormat="1" ht="12.75">
      <c r="A1" s="106"/>
      <c r="B1" s="105"/>
      <c r="C1" s="116"/>
      <c r="D1" s="156" t="s">
        <v>6</v>
      </c>
      <c r="E1" s="157"/>
      <c r="F1" s="158"/>
      <c r="G1" s="156" t="s">
        <v>6</v>
      </c>
      <c r="H1" s="157"/>
      <c r="I1" s="158"/>
      <c r="J1" s="156" t="s">
        <v>6</v>
      </c>
      <c r="K1" s="157"/>
      <c r="L1" s="158"/>
      <c r="M1" s="156" t="s">
        <v>6</v>
      </c>
      <c r="N1" s="157"/>
      <c r="O1" s="158"/>
      <c r="P1" s="156" t="s">
        <v>6</v>
      </c>
      <c r="Q1" s="157"/>
      <c r="R1" s="158"/>
      <c r="S1" s="156" t="s">
        <v>6</v>
      </c>
      <c r="T1" s="157"/>
      <c r="U1" s="157"/>
      <c r="V1" s="156" t="s">
        <v>6</v>
      </c>
      <c r="W1" s="157"/>
      <c r="X1" s="158"/>
      <c r="Y1" s="157" t="s">
        <v>1</v>
      </c>
      <c r="Z1" s="157"/>
      <c r="AA1" s="158"/>
      <c r="AB1" s="40"/>
      <c r="AC1" s="40"/>
    </row>
    <row r="2" spans="1:29" s="41" customFormat="1" ht="12.75">
      <c r="A2" s="153" t="s">
        <v>0</v>
      </c>
      <c r="B2" s="154"/>
      <c r="C2" s="155"/>
      <c r="D2" s="159">
        <v>2000</v>
      </c>
      <c r="E2" s="135"/>
      <c r="F2" s="160"/>
      <c r="G2" s="159">
        <v>2001</v>
      </c>
      <c r="H2" s="135"/>
      <c r="I2" s="160"/>
      <c r="J2" s="159">
        <v>2002</v>
      </c>
      <c r="K2" s="135"/>
      <c r="L2" s="160"/>
      <c r="M2" s="159">
        <v>2003</v>
      </c>
      <c r="N2" s="135"/>
      <c r="O2" s="160"/>
      <c r="P2" s="159">
        <v>2004</v>
      </c>
      <c r="Q2" s="135"/>
      <c r="R2" s="160"/>
      <c r="S2" s="159">
        <v>2005</v>
      </c>
      <c r="T2" s="135"/>
      <c r="U2" s="135"/>
      <c r="V2" s="159">
        <v>2006</v>
      </c>
      <c r="W2" s="135"/>
      <c r="X2" s="160"/>
      <c r="Y2" s="135" t="s">
        <v>54</v>
      </c>
      <c r="Z2" s="135"/>
      <c r="AA2" s="160"/>
      <c r="AB2" s="40"/>
      <c r="AC2" s="40"/>
    </row>
    <row r="3" spans="1:29" s="43" customFormat="1" ht="33.75">
      <c r="A3" s="117"/>
      <c r="B3" s="118" t="s">
        <v>55</v>
      </c>
      <c r="C3" s="119"/>
      <c r="D3" s="124" t="s">
        <v>41</v>
      </c>
      <c r="E3" s="125" t="s">
        <v>3</v>
      </c>
      <c r="F3" s="126" t="s">
        <v>56</v>
      </c>
      <c r="G3" s="127" t="s">
        <v>41</v>
      </c>
      <c r="H3" s="128" t="s">
        <v>3</v>
      </c>
      <c r="I3" s="126" t="s">
        <v>56</v>
      </c>
      <c r="J3" s="127" t="s">
        <v>41</v>
      </c>
      <c r="K3" s="128" t="s">
        <v>3</v>
      </c>
      <c r="L3" s="126" t="s">
        <v>56</v>
      </c>
      <c r="M3" s="127" t="s">
        <v>41</v>
      </c>
      <c r="N3" s="128" t="s">
        <v>3</v>
      </c>
      <c r="O3" s="126" t="s">
        <v>56</v>
      </c>
      <c r="P3" s="127" t="s">
        <v>41</v>
      </c>
      <c r="Q3" s="128" t="s">
        <v>3</v>
      </c>
      <c r="R3" s="126" t="s">
        <v>56</v>
      </c>
      <c r="S3" s="127" t="s">
        <v>41</v>
      </c>
      <c r="T3" s="128" t="s">
        <v>3</v>
      </c>
      <c r="U3" s="129" t="s">
        <v>56</v>
      </c>
      <c r="V3" s="127" t="s">
        <v>41</v>
      </c>
      <c r="W3" s="128" t="s">
        <v>3</v>
      </c>
      <c r="X3" s="126" t="s">
        <v>56</v>
      </c>
      <c r="Y3" s="130" t="s">
        <v>41</v>
      </c>
      <c r="Z3" s="128" t="s">
        <v>3</v>
      </c>
      <c r="AA3" s="131" t="s">
        <v>56</v>
      </c>
      <c r="AB3" s="42"/>
      <c r="AC3" s="42"/>
    </row>
    <row r="4" spans="1:29" ht="22.5">
      <c r="A4" s="120">
        <v>1</v>
      </c>
      <c r="B4" s="121" t="s">
        <v>57</v>
      </c>
      <c r="C4" s="57" t="s">
        <v>14</v>
      </c>
      <c r="D4" s="76">
        <v>0</v>
      </c>
      <c r="E4" s="20">
        <v>0</v>
      </c>
      <c r="F4" s="77">
        <v>0</v>
      </c>
      <c r="G4" s="76">
        <f>2.061-0.027</f>
        <v>2.034</v>
      </c>
      <c r="H4" s="20">
        <f>0.687-0.009</f>
        <v>0.678</v>
      </c>
      <c r="I4" s="77">
        <f>4.309-G4</f>
        <v>2.2750000000000004</v>
      </c>
      <c r="J4" s="76">
        <v>2.7702285</v>
      </c>
      <c r="K4" s="20">
        <v>0.923</v>
      </c>
      <c r="L4" s="77">
        <f>5.923-J4</f>
        <v>3.1527715</v>
      </c>
      <c r="M4" s="44">
        <v>2.908</v>
      </c>
      <c r="N4" s="9">
        <v>0.969</v>
      </c>
      <c r="O4" s="45">
        <f>6.906-M4</f>
        <v>3.9979999999999998</v>
      </c>
      <c r="P4" s="44">
        <f>9.905-1-4.898</f>
        <v>4.007</v>
      </c>
      <c r="Q4" s="9">
        <v>1.336</v>
      </c>
      <c r="R4" s="45">
        <f>8.905-P4</f>
        <v>4.898</v>
      </c>
      <c r="S4" s="44">
        <f>9.859-1-4.872</f>
        <v>3.987</v>
      </c>
      <c r="T4" s="9">
        <v>1.329</v>
      </c>
      <c r="U4" s="46">
        <f>8.859-S4</f>
        <v>4.872</v>
      </c>
      <c r="V4" s="44">
        <f>10.098-1-5.004</f>
        <v>4.094000000000001</v>
      </c>
      <c r="W4" s="9">
        <v>1.365</v>
      </c>
      <c r="X4" s="45">
        <f>9.098-V4</f>
        <v>5.004</v>
      </c>
      <c r="Y4" s="47">
        <f>+V4+S4+P4+M4+J4+G4+D4</f>
        <v>19.8002285</v>
      </c>
      <c r="Z4" s="9">
        <f>+W4+T4+Q4+N4+K4+H4+E4</f>
        <v>6.6000000000000005</v>
      </c>
      <c r="AA4" s="45">
        <f>+X4+U4+R4+O4+L4+I4+F4</f>
        <v>24.199771499999997</v>
      </c>
      <c r="AB4" s="36"/>
      <c r="AC4" s="36"/>
    </row>
    <row r="5" spans="1:29" ht="22.5">
      <c r="A5" s="120">
        <v>2</v>
      </c>
      <c r="B5" s="121" t="s">
        <v>58</v>
      </c>
      <c r="C5" s="57" t="s">
        <v>15</v>
      </c>
      <c r="D5" s="76">
        <v>0</v>
      </c>
      <c r="E5" s="20">
        <v>0</v>
      </c>
      <c r="F5" s="77">
        <v>0</v>
      </c>
      <c r="G5" s="76">
        <v>0.575</v>
      </c>
      <c r="H5" s="20">
        <v>0.287</v>
      </c>
      <c r="I5" s="77">
        <f>0.575-G5</f>
        <v>0</v>
      </c>
      <c r="J5" s="76">
        <v>1.498</v>
      </c>
      <c r="K5" s="20">
        <v>0.749</v>
      </c>
      <c r="L5" s="77">
        <f>1.498-J5</f>
        <v>0</v>
      </c>
      <c r="M5" s="44">
        <v>1.12</v>
      </c>
      <c r="N5" s="9">
        <v>0.56</v>
      </c>
      <c r="O5" s="45">
        <f>1.12-M5</f>
        <v>0</v>
      </c>
      <c r="P5" s="44">
        <v>0.886</v>
      </c>
      <c r="Q5" s="9">
        <v>0.443</v>
      </c>
      <c r="R5" s="45">
        <f>0.886-P5</f>
        <v>0</v>
      </c>
      <c r="S5" s="44">
        <v>0.886</v>
      </c>
      <c r="T5" s="9">
        <v>0.443</v>
      </c>
      <c r="U5" s="46">
        <f>0.886-S5</f>
        <v>0</v>
      </c>
      <c r="V5" s="44">
        <v>0.891</v>
      </c>
      <c r="W5" s="9">
        <v>0.444</v>
      </c>
      <c r="X5" s="45">
        <f>0.891-V5</f>
        <v>0</v>
      </c>
      <c r="Y5" s="47">
        <f>+V5+S5+P5+M5+J5+G5+D5-0.004</f>
        <v>5.852000000000001</v>
      </c>
      <c r="Z5" s="9">
        <f>+W5+T5+Q5+N5+K5+H5+E5</f>
        <v>2.926</v>
      </c>
      <c r="AA5" s="45">
        <f aca="true" t="shared" si="0" ref="AA5:AA20">+X5+U5+R5+O5+L5+I5+F5</f>
        <v>0</v>
      </c>
      <c r="AB5" s="36"/>
      <c r="AC5" s="36"/>
    </row>
    <row r="6" spans="1:29" ht="22.5">
      <c r="A6" s="120">
        <v>3</v>
      </c>
      <c r="B6" s="121" t="s">
        <v>59</v>
      </c>
      <c r="C6" s="57" t="s">
        <v>16</v>
      </c>
      <c r="D6" s="76">
        <v>0</v>
      </c>
      <c r="E6" s="20">
        <v>0</v>
      </c>
      <c r="F6" s="77">
        <v>0</v>
      </c>
      <c r="G6" s="76">
        <v>0</v>
      </c>
      <c r="H6" s="20">
        <v>0</v>
      </c>
      <c r="I6" s="77"/>
      <c r="J6" s="76">
        <v>0</v>
      </c>
      <c r="K6" s="20">
        <v>0</v>
      </c>
      <c r="L6" s="77">
        <v>0</v>
      </c>
      <c r="M6" s="44">
        <v>0</v>
      </c>
      <c r="N6" s="9">
        <v>0</v>
      </c>
      <c r="O6" s="45">
        <v>0</v>
      </c>
      <c r="P6" s="44">
        <v>0</v>
      </c>
      <c r="Q6" s="9">
        <v>0</v>
      </c>
      <c r="R6" s="45">
        <v>0</v>
      </c>
      <c r="S6" s="44">
        <v>0</v>
      </c>
      <c r="T6" s="9">
        <v>0</v>
      </c>
      <c r="U6" s="46"/>
      <c r="V6" s="44">
        <v>0</v>
      </c>
      <c r="W6" s="9">
        <v>0</v>
      </c>
      <c r="X6" s="45"/>
      <c r="Y6" s="47">
        <f aca="true" t="shared" si="1" ref="Y6:Y21">+V6+S6+P6+M6+J6+G6+D6</f>
        <v>0</v>
      </c>
      <c r="Z6" s="9">
        <f aca="true" t="shared" si="2" ref="Z6:Z21">+W6+T6+Q6+N6+K6+H6+E6</f>
        <v>0</v>
      </c>
      <c r="AA6" s="45">
        <v>0</v>
      </c>
      <c r="AB6" s="36"/>
      <c r="AC6" s="36"/>
    </row>
    <row r="7" spans="1:29" ht="22.5">
      <c r="A7" s="120">
        <v>4</v>
      </c>
      <c r="B7" s="121" t="s">
        <v>60</v>
      </c>
      <c r="C7" s="57" t="s">
        <v>17</v>
      </c>
      <c r="D7" s="76">
        <v>0</v>
      </c>
      <c r="E7" s="20">
        <v>0</v>
      </c>
      <c r="F7" s="77">
        <v>0</v>
      </c>
      <c r="G7" s="76">
        <v>0</v>
      </c>
      <c r="H7" s="20">
        <v>0</v>
      </c>
      <c r="I7" s="77"/>
      <c r="J7" s="76">
        <v>0</v>
      </c>
      <c r="K7" s="20">
        <v>0</v>
      </c>
      <c r="L7" s="77">
        <v>0</v>
      </c>
      <c r="M7" s="44">
        <v>0</v>
      </c>
      <c r="N7" s="9">
        <v>0</v>
      </c>
      <c r="O7" s="45">
        <v>0</v>
      </c>
      <c r="P7" s="44">
        <v>0</v>
      </c>
      <c r="Q7" s="9">
        <v>0</v>
      </c>
      <c r="R7" s="45">
        <v>0</v>
      </c>
      <c r="S7" s="44">
        <v>0</v>
      </c>
      <c r="T7" s="9">
        <v>0</v>
      </c>
      <c r="U7" s="46"/>
      <c r="V7" s="44">
        <v>0</v>
      </c>
      <c r="W7" s="9">
        <v>0</v>
      </c>
      <c r="X7" s="45"/>
      <c r="Y7" s="47">
        <f t="shared" si="1"/>
        <v>0</v>
      </c>
      <c r="Z7" s="9">
        <f t="shared" si="2"/>
        <v>0</v>
      </c>
      <c r="AA7" s="45">
        <v>0</v>
      </c>
      <c r="AB7" s="36"/>
      <c r="AC7" s="36"/>
    </row>
    <row r="8" spans="1:29" ht="67.5">
      <c r="A8" s="120" t="s">
        <v>21</v>
      </c>
      <c r="B8" s="121" t="s">
        <v>73</v>
      </c>
      <c r="C8" s="57" t="s">
        <v>39</v>
      </c>
      <c r="D8" s="76">
        <v>0</v>
      </c>
      <c r="E8" s="20">
        <v>0</v>
      </c>
      <c r="F8" s="77">
        <v>0</v>
      </c>
      <c r="G8" s="76">
        <v>0.773</v>
      </c>
      <c r="H8" s="20">
        <v>0.258</v>
      </c>
      <c r="I8" s="77">
        <f>1.778-G8</f>
        <v>1.005</v>
      </c>
      <c r="J8" s="76">
        <v>0.552</v>
      </c>
      <c r="K8" s="20">
        <v>0.183</v>
      </c>
      <c r="L8" s="77">
        <f>1.16-J8</f>
        <v>0.6079999999999999</v>
      </c>
      <c r="M8" s="44">
        <v>1.614</v>
      </c>
      <c r="N8" s="9">
        <v>0.523</v>
      </c>
      <c r="O8" s="45">
        <f>2.86-M8</f>
        <v>1.2459999999999998</v>
      </c>
      <c r="P8" s="44">
        <v>1.733</v>
      </c>
      <c r="Q8" s="9">
        <v>0.563</v>
      </c>
      <c r="R8" s="45">
        <f>3.153-P8</f>
        <v>1.42</v>
      </c>
      <c r="S8" s="44">
        <v>1.642</v>
      </c>
      <c r="T8" s="9">
        <v>0.532</v>
      </c>
      <c r="U8" s="46">
        <f>2.947-S8</f>
        <v>1.3050000000000002</v>
      </c>
      <c r="V8" s="44">
        <v>2.938</v>
      </c>
      <c r="W8" s="9">
        <v>0.935</v>
      </c>
      <c r="X8" s="45">
        <f>4.462-V8</f>
        <v>1.5239999999999996</v>
      </c>
      <c r="Y8" s="47">
        <f t="shared" si="1"/>
        <v>9.252</v>
      </c>
      <c r="Z8" s="9">
        <f t="shared" si="2"/>
        <v>2.994</v>
      </c>
      <c r="AA8" s="45">
        <f t="shared" si="0"/>
        <v>7.107999999999999</v>
      </c>
      <c r="AB8" s="36"/>
      <c r="AC8" s="36"/>
    </row>
    <row r="9" spans="1:29" ht="67.5">
      <c r="A9" s="120" t="s">
        <v>11</v>
      </c>
      <c r="B9" s="121" t="s">
        <v>61</v>
      </c>
      <c r="C9" s="57" t="s">
        <v>18</v>
      </c>
      <c r="D9" s="76">
        <v>0</v>
      </c>
      <c r="E9" s="20">
        <v>0</v>
      </c>
      <c r="F9" s="77">
        <v>0</v>
      </c>
      <c r="G9" s="76">
        <v>0.067</v>
      </c>
      <c r="H9" s="20">
        <v>0.023</v>
      </c>
      <c r="I9" s="77">
        <f>0.125-G9</f>
        <v>0.057999999999999996</v>
      </c>
      <c r="J9" s="76">
        <v>0.458</v>
      </c>
      <c r="K9" s="20">
        <v>0.168</v>
      </c>
      <c r="L9" s="77">
        <f>1.075-J9</f>
        <v>0.617</v>
      </c>
      <c r="M9" s="44">
        <v>0.468</v>
      </c>
      <c r="N9" s="9">
        <v>0.165</v>
      </c>
      <c r="O9" s="45">
        <f>0.945-M9</f>
        <v>0.4769999999999999</v>
      </c>
      <c r="P9" s="44">
        <v>0.432</v>
      </c>
      <c r="Q9" s="9">
        <v>0.153</v>
      </c>
      <c r="R9" s="45">
        <f>0.9-P9</f>
        <v>0.468</v>
      </c>
      <c r="S9" s="44">
        <v>0.432</v>
      </c>
      <c r="T9" s="9">
        <v>0.153</v>
      </c>
      <c r="U9" s="46">
        <f>0.9-S9</f>
        <v>0.468</v>
      </c>
      <c r="V9" s="44">
        <v>0.743</v>
      </c>
      <c r="W9" s="9">
        <v>0.254</v>
      </c>
      <c r="X9" s="45">
        <f>1.455-V9</f>
        <v>0.7120000000000001</v>
      </c>
      <c r="Y9" s="47">
        <f>+V9+S9+P9+M9+J9+G9+D9</f>
        <v>2.6000000000000005</v>
      </c>
      <c r="Z9" s="9">
        <f>+W9+T9+Q9+N9+K9+H9+E9+0.004</f>
        <v>0.9200000000000002</v>
      </c>
      <c r="AA9" s="45">
        <f>+X9+U9+R9+O9+L9+I9+F9</f>
        <v>2.8</v>
      </c>
      <c r="AB9" s="36"/>
      <c r="AC9" s="36"/>
    </row>
    <row r="10" spans="1:29" ht="45">
      <c r="A10" s="120"/>
      <c r="B10" s="121" t="s">
        <v>62</v>
      </c>
      <c r="C10" s="57" t="s">
        <v>7</v>
      </c>
      <c r="D10" s="76">
        <v>0</v>
      </c>
      <c r="E10" s="20">
        <v>0</v>
      </c>
      <c r="F10" s="77">
        <v>0</v>
      </c>
      <c r="G10" s="76">
        <v>0</v>
      </c>
      <c r="H10" s="20">
        <v>0</v>
      </c>
      <c r="I10" s="77"/>
      <c r="J10" s="76">
        <v>0</v>
      </c>
      <c r="K10" s="20">
        <v>0</v>
      </c>
      <c r="L10" s="77">
        <v>0</v>
      </c>
      <c r="M10" s="44">
        <v>0.4</v>
      </c>
      <c r="N10" s="9">
        <v>0.2</v>
      </c>
      <c r="O10" s="45">
        <f>0.4-M10</f>
        <v>0</v>
      </c>
      <c r="P10" s="44">
        <v>0</v>
      </c>
      <c r="Q10" s="9">
        <v>0</v>
      </c>
      <c r="R10" s="45">
        <v>0</v>
      </c>
      <c r="S10" s="44">
        <v>0</v>
      </c>
      <c r="T10" s="9">
        <v>0</v>
      </c>
      <c r="U10" s="46">
        <v>0</v>
      </c>
      <c r="V10" s="44">
        <v>0.6</v>
      </c>
      <c r="W10" s="9">
        <v>0.3</v>
      </c>
      <c r="X10" s="45">
        <f>0.6-V10</f>
        <v>0</v>
      </c>
      <c r="Y10" s="47">
        <f t="shared" si="1"/>
        <v>1</v>
      </c>
      <c r="Z10" s="9">
        <f t="shared" si="2"/>
        <v>0.5</v>
      </c>
      <c r="AA10" s="45">
        <f t="shared" si="0"/>
        <v>0</v>
      </c>
      <c r="AB10" s="36"/>
      <c r="AC10" s="36"/>
    </row>
    <row r="11" spans="1:29" ht="67.5">
      <c r="A11" s="120">
        <v>6</v>
      </c>
      <c r="B11" s="121" t="s">
        <v>67</v>
      </c>
      <c r="C11" s="57" t="s">
        <v>25</v>
      </c>
      <c r="D11" s="76">
        <v>0</v>
      </c>
      <c r="E11" s="20">
        <v>0</v>
      </c>
      <c r="F11" s="77">
        <v>0</v>
      </c>
      <c r="G11" s="76">
        <v>5.566</v>
      </c>
      <c r="H11" s="20">
        <v>2.087</v>
      </c>
      <c r="I11" s="77">
        <f>13.916-G11</f>
        <v>8.350000000000001</v>
      </c>
      <c r="J11" s="76">
        <v>5.703</v>
      </c>
      <c r="K11" s="20">
        <v>2.139</v>
      </c>
      <c r="L11" s="77">
        <f>14.258-J11</f>
        <v>8.555</v>
      </c>
      <c r="M11" s="44">
        <v>5.327</v>
      </c>
      <c r="N11" s="9">
        <v>1.997</v>
      </c>
      <c r="O11" s="45">
        <f>13.319-M11</f>
        <v>7.992000000000001</v>
      </c>
      <c r="P11" s="44">
        <v>4.04</v>
      </c>
      <c r="Q11" s="9">
        <v>1.515</v>
      </c>
      <c r="R11" s="45">
        <f>10.1-P11</f>
        <v>6.06</v>
      </c>
      <c r="S11" s="44">
        <v>4.44</v>
      </c>
      <c r="T11" s="9">
        <v>1.665</v>
      </c>
      <c r="U11" s="46">
        <f>11.1-S11</f>
        <v>6.659999999999999</v>
      </c>
      <c r="V11" s="44">
        <v>0.857</v>
      </c>
      <c r="W11" s="9">
        <v>0.321</v>
      </c>
      <c r="X11" s="45">
        <f>2.14-V11</f>
        <v>1.2830000000000001</v>
      </c>
      <c r="Y11" s="47">
        <f t="shared" si="1"/>
        <v>25.933</v>
      </c>
      <c r="Z11" s="9">
        <f>+W11+T11+Q11+N11+K11+H11+E11+0.001</f>
        <v>9.725</v>
      </c>
      <c r="AA11" s="45">
        <f t="shared" si="0"/>
        <v>38.900000000000006</v>
      </c>
      <c r="AB11" s="36"/>
      <c r="AC11" s="36"/>
    </row>
    <row r="12" spans="1:29" ht="56.25">
      <c r="A12" s="120">
        <v>7</v>
      </c>
      <c r="B12" s="121" t="s">
        <v>68</v>
      </c>
      <c r="C12" s="57" t="s">
        <v>26</v>
      </c>
      <c r="D12" s="76">
        <v>0</v>
      </c>
      <c r="E12" s="20">
        <v>0</v>
      </c>
      <c r="F12" s="77">
        <v>0</v>
      </c>
      <c r="G12" s="76">
        <v>0</v>
      </c>
      <c r="H12" s="20">
        <v>0</v>
      </c>
      <c r="I12" s="77"/>
      <c r="J12" s="76">
        <v>0</v>
      </c>
      <c r="K12" s="20">
        <v>0</v>
      </c>
      <c r="L12" s="77">
        <v>0</v>
      </c>
      <c r="M12" s="44">
        <v>0</v>
      </c>
      <c r="N12" s="9">
        <v>0</v>
      </c>
      <c r="O12" s="45">
        <v>0</v>
      </c>
      <c r="P12" s="44">
        <v>0</v>
      </c>
      <c r="Q12" s="9">
        <v>0</v>
      </c>
      <c r="R12" s="45">
        <v>0</v>
      </c>
      <c r="S12" s="44">
        <v>0</v>
      </c>
      <c r="T12" s="9">
        <v>0</v>
      </c>
      <c r="U12" s="46">
        <v>0</v>
      </c>
      <c r="V12" s="44">
        <v>0</v>
      </c>
      <c r="W12" s="9">
        <v>0</v>
      </c>
      <c r="X12" s="45">
        <v>0</v>
      </c>
      <c r="Y12" s="47">
        <f t="shared" si="1"/>
        <v>0</v>
      </c>
      <c r="Z12" s="9">
        <f t="shared" si="2"/>
        <v>0</v>
      </c>
      <c r="AA12" s="45">
        <v>0</v>
      </c>
      <c r="AB12" s="36"/>
      <c r="AC12" s="36"/>
    </row>
    <row r="13" spans="1:29" ht="15.75">
      <c r="A13" s="120">
        <v>8</v>
      </c>
      <c r="B13" s="121" t="s">
        <v>63</v>
      </c>
      <c r="C13" s="57" t="s">
        <v>27</v>
      </c>
      <c r="D13" s="76">
        <v>0</v>
      </c>
      <c r="E13" s="20">
        <v>0</v>
      </c>
      <c r="F13" s="77">
        <v>0</v>
      </c>
      <c r="G13" s="76">
        <v>0.075</v>
      </c>
      <c r="H13" s="20">
        <v>0.038</v>
      </c>
      <c r="I13" s="77">
        <f>0.075-G13</f>
        <v>0</v>
      </c>
      <c r="J13" s="76">
        <v>0.135</v>
      </c>
      <c r="K13" s="20">
        <v>0.068</v>
      </c>
      <c r="L13" s="77">
        <f>0.135-J13</f>
        <v>0</v>
      </c>
      <c r="M13" s="44">
        <v>0.134</v>
      </c>
      <c r="N13" s="9">
        <v>0.068</v>
      </c>
      <c r="O13" s="45">
        <f>0.134-M13</f>
        <v>0</v>
      </c>
      <c r="P13" s="44">
        <v>0.134</v>
      </c>
      <c r="Q13" s="9">
        <v>0.067</v>
      </c>
      <c r="R13" s="45">
        <f>0.134-P13</f>
        <v>0</v>
      </c>
      <c r="S13" s="44">
        <v>0.134</v>
      </c>
      <c r="T13" s="9">
        <v>0.067</v>
      </c>
      <c r="U13" s="46">
        <f>0.134-S13</f>
        <v>0</v>
      </c>
      <c r="V13" s="44">
        <v>0.137</v>
      </c>
      <c r="W13" s="9">
        <v>0.069</v>
      </c>
      <c r="X13" s="45">
        <f>0.137-V13</f>
        <v>0</v>
      </c>
      <c r="Y13" s="47">
        <f>+V13+S13+P13+M13+J13+G13+D13+0.001</f>
        <v>0.75</v>
      </c>
      <c r="Z13" s="9">
        <f>+W13+T13+Q13+N13+K13+H13+E13-0.002</f>
        <v>0.375</v>
      </c>
      <c r="AA13" s="45">
        <f t="shared" si="0"/>
        <v>0</v>
      </c>
      <c r="AB13" s="36"/>
      <c r="AC13" s="36"/>
    </row>
    <row r="14" spans="1:29" ht="67.5">
      <c r="A14" s="120">
        <v>9</v>
      </c>
      <c r="B14" s="121" t="s">
        <v>64</v>
      </c>
      <c r="C14" s="57" t="s">
        <v>28</v>
      </c>
      <c r="D14" s="76">
        <v>0</v>
      </c>
      <c r="E14" s="20">
        <v>0</v>
      </c>
      <c r="F14" s="77">
        <v>0</v>
      </c>
      <c r="G14" s="76">
        <v>0</v>
      </c>
      <c r="H14" s="20">
        <v>0</v>
      </c>
      <c r="I14" s="77"/>
      <c r="J14" s="76">
        <v>0</v>
      </c>
      <c r="K14" s="20">
        <v>0</v>
      </c>
      <c r="L14" s="77">
        <v>0</v>
      </c>
      <c r="M14" s="44">
        <v>0</v>
      </c>
      <c r="N14" s="9">
        <v>0</v>
      </c>
      <c r="O14" s="45">
        <v>0</v>
      </c>
      <c r="P14" s="44">
        <v>0</v>
      </c>
      <c r="Q14" s="9">
        <v>0</v>
      </c>
      <c r="R14" s="45">
        <v>0</v>
      </c>
      <c r="S14" s="44">
        <v>0.084</v>
      </c>
      <c r="T14" s="9">
        <v>0.031</v>
      </c>
      <c r="U14" s="46">
        <f>0.168-S14</f>
        <v>0.084</v>
      </c>
      <c r="V14" s="44">
        <v>0.181</v>
      </c>
      <c r="W14" s="9">
        <v>0.067</v>
      </c>
      <c r="X14" s="45">
        <f>0.362-V14</f>
        <v>0.181</v>
      </c>
      <c r="Y14" s="47">
        <f t="shared" si="1"/>
        <v>0.265</v>
      </c>
      <c r="Z14" s="9">
        <f>+W14+T14+Q14+N14+K14+H14+E14+0.002</f>
        <v>0.1</v>
      </c>
      <c r="AA14" s="45">
        <f t="shared" si="0"/>
        <v>0.265</v>
      </c>
      <c r="AB14" s="36"/>
      <c r="AC14" s="36"/>
    </row>
    <row r="15" spans="1:29" ht="33.75">
      <c r="A15" s="120">
        <v>10</v>
      </c>
      <c r="B15" s="121" t="s">
        <v>69</v>
      </c>
      <c r="C15" s="57" t="s">
        <v>29</v>
      </c>
      <c r="D15" s="76">
        <v>0</v>
      </c>
      <c r="E15" s="20">
        <v>0</v>
      </c>
      <c r="F15" s="77">
        <v>0</v>
      </c>
      <c r="G15" s="76">
        <v>0</v>
      </c>
      <c r="H15" s="20">
        <v>0</v>
      </c>
      <c r="I15" s="77"/>
      <c r="J15" s="76">
        <v>0</v>
      </c>
      <c r="K15" s="20">
        <v>0</v>
      </c>
      <c r="L15" s="77">
        <v>0</v>
      </c>
      <c r="M15" s="44">
        <v>0</v>
      </c>
      <c r="N15" s="9">
        <v>0</v>
      </c>
      <c r="O15" s="45">
        <v>0</v>
      </c>
      <c r="P15" s="44">
        <v>0</v>
      </c>
      <c r="Q15" s="9">
        <v>0</v>
      </c>
      <c r="R15" s="45">
        <v>0</v>
      </c>
      <c r="S15" s="44">
        <v>0</v>
      </c>
      <c r="T15" s="9">
        <v>0</v>
      </c>
      <c r="U15" s="46">
        <v>0</v>
      </c>
      <c r="V15" s="44">
        <v>0</v>
      </c>
      <c r="W15" s="9">
        <v>0</v>
      </c>
      <c r="X15" s="45">
        <v>0</v>
      </c>
      <c r="Y15" s="47">
        <f t="shared" si="1"/>
        <v>0</v>
      </c>
      <c r="Z15" s="9">
        <f t="shared" si="2"/>
        <v>0</v>
      </c>
      <c r="AA15" s="45">
        <v>0</v>
      </c>
      <c r="AB15" s="36"/>
      <c r="AC15" s="36"/>
    </row>
    <row r="16" spans="1:29" ht="45">
      <c r="A16" s="120">
        <v>11</v>
      </c>
      <c r="B16" s="121" t="s">
        <v>70</v>
      </c>
      <c r="C16" s="57" t="s">
        <v>30</v>
      </c>
      <c r="D16" s="76">
        <v>0</v>
      </c>
      <c r="E16" s="20">
        <v>0</v>
      </c>
      <c r="F16" s="77">
        <v>0</v>
      </c>
      <c r="G16" s="76">
        <v>0</v>
      </c>
      <c r="H16" s="20">
        <v>0</v>
      </c>
      <c r="I16" s="77"/>
      <c r="J16" s="76">
        <v>0.798</v>
      </c>
      <c r="K16" s="20">
        <v>0.295</v>
      </c>
      <c r="L16" s="77">
        <f>0.998-J16</f>
        <v>0.19999999999999996</v>
      </c>
      <c r="M16" s="44">
        <v>3.089</v>
      </c>
      <c r="N16" s="9">
        <v>1.144</v>
      </c>
      <c r="O16" s="45">
        <f>3.863-M16</f>
        <v>0.774</v>
      </c>
      <c r="P16" s="44">
        <f>0.738+0.879+0.376</f>
        <v>1.9929999999999999</v>
      </c>
      <c r="Q16" s="9">
        <v>0.738</v>
      </c>
      <c r="R16" s="45">
        <f>2.491-P16</f>
        <v>0.4980000000000002</v>
      </c>
      <c r="S16" s="44">
        <v>1.866</v>
      </c>
      <c r="T16" s="9">
        <v>0.691</v>
      </c>
      <c r="U16" s="46">
        <f>2.333-S16</f>
        <v>0.4670000000000001</v>
      </c>
      <c r="V16" s="44">
        <v>1.974</v>
      </c>
      <c r="W16" s="9">
        <v>0.732</v>
      </c>
      <c r="X16" s="45">
        <f>2.466-V16</f>
        <v>0.4920000000000002</v>
      </c>
      <c r="Y16" s="47">
        <f t="shared" si="1"/>
        <v>9.72</v>
      </c>
      <c r="Z16" s="9">
        <f t="shared" si="2"/>
        <v>3.5999999999999996</v>
      </c>
      <c r="AA16" s="45">
        <f>+X16+U16+R16+O16+L16+I16+F16-0.001</f>
        <v>2.430000000000001</v>
      </c>
      <c r="AB16" s="36"/>
      <c r="AC16" s="36"/>
    </row>
    <row r="17" spans="1:29" ht="33.75">
      <c r="A17" s="120">
        <v>12</v>
      </c>
      <c r="B17" s="121" t="s">
        <v>71</v>
      </c>
      <c r="C17" s="57" t="s">
        <v>31</v>
      </c>
      <c r="D17" s="76">
        <v>0</v>
      </c>
      <c r="E17" s="20">
        <v>0</v>
      </c>
      <c r="F17" s="77">
        <v>0</v>
      </c>
      <c r="G17" s="76">
        <v>2.208</v>
      </c>
      <c r="H17" s="20">
        <v>0.816</v>
      </c>
      <c r="I17" s="77">
        <f>2.76-G17</f>
        <v>0.5519999999999996</v>
      </c>
      <c r="J17" s="76">
        <v>1.318</v>
      </c>
      <c r="K17" s="20">
        <v>0.488</v>
      </c>
      <c r="L17" s="77">
        <f>1.791-J17</f>
        <v>0.47299999999999986</v>
      </c>
      <c r="M17" s="44">
        <v>2.427</v>
      </c>
      <c r="N17" s="9">
        <v>0.899</v>
      </c>
      <c r="O17" s="45">
        <f>4.898-M17</f>
        <v>2.4709999999999996</v>
      </c>
      <c r="P17" s="44">
        <v>2.107</v>
      </c>
      <c r="Q17" s="9">
        <v>0.779</v>
      </c>
      <c r="R17" s="45">
        <f>3.343-P17</f>
        <v>1.2359999999999998</v>
      </c>
      <c r="S17" s="44">
        <v>2.607</v>
      </c>
      <c r="T17" s="9">
        <v>0.964</v>
      </c>
      <c r="U17" s="46">
        <f>4.137-S17</f>
        <v>1.5299999999999994</v>
      </c>
      <c r="V17" s="44">
        <v>4.072</v>
      </c>
      <c r="W17" s="9">
        <v>1.506</v>
      </c>
      <c r="X17" s="45">
        <f>6.47-V17</f>
        <v>2.3979999999999997</v>
      </c>
      <c r="Y17" s="47">
        <f>+V17+S17+P17+M17+J17+G17+D17+0.002</f>
        <v>14.741000000000001</v>
      </c>
      <c r="Z17" s="9">
        <f>+W17+T17+Q17+N17+K17+H17+E17</f>
        <v>5.451999999999999</v>
      </c>
      <c r="AA17" s="45">
        <f>+X17+U17+R17+O17+L17+I17+F17-0.002</f>
        <v>8.657999999999996</v>
      </c>
      <c r="AB17" s="36"/>
      <c r="AC17" s="36"/>
    </row>
    <row r="18" spans="1:29" ht="22.5">
      <c r="A18" s="120">
        <v>13</v>
      </c>
      <c r="B18" s="121" t="s">
        <v>65</v>
      </c>
      <c r="C18" s="57" t="s">
        <v>32</v>
      </c>
      <c r="D18" s="76">
        <v>0</v>
      </c>
      <c r="E18" s="20">
        <v>0</v>
      </c>
      <c r="F18" s="77">
        <v>0</v>
      </c>
      <c r="G18" s="76">
        <f>11.662-0.34</f>
        <v>11.322000000000001</v>
      </c>
      <c r="H18" s="20">
        <f>G18/2</f>
        <v>5.6610000000000005</v>
      </c>
      <c r="I18" s="77">
        <f>11.322-G18</f>
        <v>0</v>
      </c>
      <c r="J18" s="76">
        <v>16.953</v>
      </c>
      <c r="K18" s="20">
        <f>J18/2</f>
        <v>8.4765</v>
      </c>
      <c r="L18" s="77">
        <f>16.953-J18</f>
        <v>0</v>
      </c>
      <c r="M18" s="44">
        <v>1.92</v>
      </c>
      <c r="N18" s="9">
        <v>0.96</v>
      </c>
      <c r="O18" s="45">
        <f>1.92-M18</f>
        <v>0</v>
      </c>
      <c r="P18" s="44">
        <v>15.75</v>
      </c>
      <c r="Q18" s="9">
        <v>7.875</v>
      </c>
      <c r="R18" s="45">
        <f>15.75-P18</f>
        <v>0</v>
      </c>
      <c r="S18" s="44">
        <v>15.484</v>
      </c>
      <c r="T18" s="9">
        <v>7.742</v>
      </c>
      <c r="U18" s="46">
        <f>15.484-S18</f>
        <v>0</v>
      </c>
      <c r="V18" s="44">
        <v>16.381</v>
      </c>
      <c r="W18" s="9">
        <v>8.191</v>
      </c>
      <c r="X18" s="45">
        <f>16.381-V18</f>
        <v>0</v>
      </c>
      <c r="Y18" s="47">
        <f t="shared" si="1"/>
        <v>77.81</v>
      </c>
      <c r="Z18" s="9">
        <f>+W18+T18+Q18+N18+K18+H18+E18-0.001</f>
        <v>38.904500000000006</v>
      </c>
      <c r="AA18" s="45">
        <f t="shared" si="0"/>
        <v>0</v>
      </c>
      <c r="AB18" s="36"/>
      <c r="AC18" s="36"/>
    </row>
    <row r="19" spans="1:29" ht="15.75">
      <c r="A19" s="120"/>
      <c r="B19" s="121"/>
      <c r="C19" s="57" t="s">
        <v>5</v>
      </c>
      <c r="D19" s="76">
        <v>31.308</v>
      </c>
      <c r="E19" s="20">
        <f>+D19/2</f>
        <v>15.654</v>
      </c>
      <c r="F19" s="77">
        <f>31.308-31.308</f>
        <v>0</v>
      </c>
      <c r="G19" s="76">
        <f>0.614+1.408</f>
        <v>2.022</v>
      </c>
      <c r="H19" s="20">
        <f>+G19/2</f>
        <v>1.011</v>
      </c>
      <c r="I19" s="77">
        <f>2.022-G19</f>
        <v>0</v>
      </c>
      <c r="J19" s="76">
        <v>0.752</v>
      </c>
      <c r="K19" s="20">
        <f>J19/2</f>
        <v>0.376</v>
      </c>
      <c r="L19" s="77">
        <f>0.752-J19</f>
        <v>0</v>
      </c>
      <c r="M19" s="44">
        <v>14.248</v>
      </c>
      <c r="N19" s="9">
        <f>M19/2</f>
        <v>7.124</v>
      </c>
      <c r="O19" s="45">
        <f>14.248-M19</f>
        <v>0</v>
      </c>
      <c r="P19" s="44">
        <v>0</v>
      </c>
      <c r="Q19" s="9">
        <v>0</v>
      </c>
      <c r="R19" s="45">
        <v>0</v>
      </c>
      <c r="S19" s="44">
        <v>0</v>
      </c>
      <c r="T19" s="9">
        <v>0</v>
      </c>
      <c r="U19" s="46">
        <v>0</v>
      </c>
      <c r="V19" s="44">
        <v>0</v>
      </c>
      <c r="W19" s="9">
        <v>0</v>
      </c>
      <c r="X19" s="45">
        <v>0</v>
      </c>
      <c r="Y19" s="47">
        <f t="shared" si="1"/>
        <v>48.33</v>
      </c>
      <c r="Z19" s="9">
        <f t="shared" si="2"/>
        <v>24.165</v>
      </c>
      <c r="AA19" s="45">
        <f t="shared" si="0"/>
        <v>0</v>
      </c>
      <c r="AB19" s="36"/>
      <c r="AC19" s="36"/>
    </row>
    <row r="20" spans="1:29" ht="56.25">
      <c r="A20" s="120">
        <v>14</v>
      </c>
      <c r="B20" s="121" t="s">
        <v>66</v>
      </c>
      <c r="C20" s="57" t="s">
        <v>33</v>
      </c>
      <c r="D20" s="76">
        <v>0</v>
      </c>
      <c r="E20" s="20">
        <v>0</v>
      </c>
      <c r="F20" s="77">
        <v>0</v>
      </c>
      <c r="G20" s="76">
        <f>4.147-0.201</f>
        <v>3.946</v>
      </c>
      <c r="H20" s="20">
        <f>2.074-0.101</f>
        <v>1.9729999999999999</v>
      </c>
      <c r="I20" s="77">
        <f>3.946-G20</f>
        <v>0</v>
      </c>
      <c r="J20" s="76">
        <v>6.531</v>
      </c>
      <c r="K20" s="20">
        <v>3.266</v>
      </c>
      <c r="L20" s="77">
        <f>6.531-J20</f>
        <v>0</v>
      </c>
      <c r="M20" s="44">
        <v>4.6</v>
      </c>
      <c r="N20" s="9">
        <v>2.3</v>
      </c>
      <c r="O20" s="45">
        <f>4.6-M20</f>
        <v>0</v>
      </c>
      <c r="P20" s="44">
        <v>5.432</v>
      </c>
      <c r="Q20" s="9">
        <v>2.716</v>
      </c>
      <c r="R20" s="45">
        <f>5.432-P20</f>
        <v>0</v>
      </c>
      <c r="S20" s="44">
        <v>5.442</v>
      </c>
      <c r="T20" s="9">
        <v>2.721</v>
      </c>
      <c r="U20" s="46">
        <f>5.442-S20</f>
        <v>0</v>
      </c>
      <c r="V20" s="44">
        <v>4.41</v>
      </c>
      <c r="W20" s="9">
        <v>2.204</v>
      </c>
      <c r="X20" s="45">
        <f>4.41-V20</f>
        <v>0</v>
      </c>
      <c r="Y20" s="47">
        <f>+V20+S20+P20+M20+J20+G20+D20</f>
        <v>30.361</v>
      </c>
      <c r="Z20" s="9">
        <f t="shared" si="2"/>
        <v>15.18</v>
      </c>
      <c r="AA20" s="45">
        <f t="shared" si="0"/>
        <v>0</v>
      </c>
      <c r="AB20" s="36"/>
      <c r="AC20" s="36"/>
    </row>
    <row r="21" spans="1:29" ht="78.75">
      <c r="A21" s="120" t="s">
        <v>8</v>
      </c>
      <c r="B21" s="121" t="s">
        <v>72</v>
      </c>
      <c r="C21" s="57" t="s">
        <v>34</v>
      </c>
      <c r="D21" s="76">
        <v>0</v>
      </c>
      <c r="E21" s="20">
        <v>0</v>
      </c>
      <c r="F21" s="77">
        <v>0</v>
      </c>
      <c r="G21" s="76">
        <v>0</v>
      </c>
      <c r="H21" s="20">
        <v>0</v>
      </c>
      <c r="I21" s="77"/>
      <c r="J21" s="76">
        <v>0</v>
      </c>
      <c r="K21" s="20">
        <v>0</v>
      </c>
      <c r="L21" s="77">
        <v>0</v>
      </c>
      <c r="M21" s="44">
        <v>0</v>
      </c>
      <c r="N21" s="9">
        <v>0</v>
      </c>
      <c r="O21" s="45">
        <v>0</v>
      </c>
      <c r="P21" s="44">
        <v>0</v>
      </c>
      <c r="Q21" s="9">
        <v>0</v>
      </c>
      <c r="R21" s="45">
        <v>0</v>
      </c>
      <c r="S21" s="44">
        <v>0</v>
      </c>
      <c r="T21" s="9">
        <v>0</v>
      </c>
      <c r="U21" s="46">
        <v>0</v>
      </c>
      <c r="V21" s="44">
        <v>0</v>
      </c>
      <c r="W21" s="9">
        <v>0</v>
      </c>
      <c r="X21" s="45">
        <v>0</v>
      </c>
      <c r="Y21" s="47">
        <f t="shared" si="1"/>
        <v>0</v>
      </c>
      <c r="Z21" s="9">
        <f t="shared" si="2"/>
        <v>0</v>
      </c>
      <c r="AA21" s="45">
        <v>0</v>
      </c>
      <c r="AB21" s="36"/>
      <c r="AC21" s="36"/>
    </row>
    <row r="22" spans="1:29" ht="78.75">
      <c r="A22" s="120" t="s">
        <v>36</v>
      </c>
      <c r="B22" s="121" t="s">
        <v>61</v>
      </c>
      <c r="C22" s="57" t="s">
        <v>35</v>
      </c>
      <c r="D22" s="76">
        <v>0</v>
      </c>
      <c r="E22" s="20">
        <v>0</v>
      </c>
      <c r="F22" s="77">
        <v>0</v>
      </c>
      <c r="G22" s="76">
        <v>1.163</v>
      </c>
      <c r="H22" s="20">
        <v>0.465</v>
      </c>
      <c r="I22" s="77">
        <f>2.908-G22</f>
        <v>1.7449999999999999</v>
      </c>
      <c r="J22" s="76">
        <v>2.677</v>
      </c>
      <c r="K22" s="20">
        <v>1.023</v>
      </c>
      <c r="L22" s="77">
        <f>5.552-J22</f>
        <v>2.8749999999999996</v>
      </c>
      <c r="M22" s="44">
        <v>2.802</v>
      </c>
      <c r="N22" s="9">
        <v>1.038</v>
      </c>
      <c r="O22" s="45">
        <f>4.892-M22</f>
        <v>2.0900000000000003</v>
      </c>
      <c r="P22" s="44">
        <v>3.066</v>
      </c>
      <c r="Q22" s="9">
        <v>1.135</v>
      </c>
      <c r="R22" s="45">
        <f>5.348-P22</f>
        <v>2.282</v>
      </c>
      <c r="S22" s="44">
        <v>3.703</v>
      </c>
      <c r="T22" s="9">
        <v>1.372</v>
      </c>
      <c r="U22" s="46">
        <f>6.463-S22</f>
        <v>2.7600000000000002</v>
      </c>
      <c r="V22" s="44">
        <v>6.108</v>
      </c>
      <c r="W22" s="9">
        <v>2.197</v>
      </c>
      <c r="X22" s="45">
        <f>8.905-V22</f>
        <v>2.7969999999999997</v>
      </c>
      <c r="Y22" s="47">
        <f>+V22+S22+P22+M22+J22+G22+D22-0.002</f>
        <v>19.517</v>
      </c>
      <c r="Z22" s="9">
        <f>+W22+T22+Q22+N22+K22+H22+E22-0.002</f>
        <v>7.228</v>
      </c>
      <c r="AA22" s="45">
        <f>+X22+U22+R22+O22+L22+I22+F22+0.002</f>
        <v>14.551</v>
      </c>
      <c r="AB22" s="36"/>
      <c r="AC22" s="36"/>
    </row>
    <row r="23" spans="1:29" ht="22.5">
      <c r="A23" s="120"/>
      <c r="B23" s="121"/>
      <c r="C23" s="57" t="s">
        <v>53</v>
      </c>
      <c r="D23" s="76"/>
      <c r="E23" s="20">
        <v>2.119</v>
      </c>
      <c r="F23" s="77"/>
      <c r="G23" s="76"/>
      <c r="H23" s="20"/>
      <c r="I23" s="77"/>
      <c r="J23" s="76"/>
      <c r="K23" s="20"/>
      <c r="L23" s="77"/>
      <c r="M23" s="44"/>
      <c r="N23" s="9"/>
      <c r="O23" s="45"/>
      <c r="P23" s="44"/>
      <c r="Q23" s="9"/>
      <c r="R23" s="45"/>
      <c r="S23" s="44"/>
      <c r="T23" s="9"/>
      <c r="U23" s="46"/>
      <c r="V23" s="44"/>
      <c r="W23" s="9">
        <v>-2.119</v>
      </c>
      <c r="X23" s="45"/>
      <c r="Y23" s="47"/>
      <c r="Z23" s="9">
        <f>+W23+T23+Q23+N23+K23+H23+E23</f>
        <v>0</v>
      </c>
      <c r="AA23" s="45"/>
      <c r="AB23" s="36"/>
      <c r="AC23" s="36"/>
    </row>
    <row r="24" spans="1:29" s="63" customFormat="1" ht="13.5" thickBot="1">
      <c r="A24" s="122"/>
      <c r="B24" s="123"/>
      <c r="C24" s="62" t="s">
        <v>4</v>
      </c>
      <c r="D24" s="48">
        <f>SUM(D4:D23)</f>
        <v>31.308</v>
      </c>
      <c r="E24" s="50">
        <f>SUM(E4:E23)</f>
        <v>17.773</v>
      </c>
      <c r="F24" s="49">
        <f>SUM(F10:F23)</f>
        <v>0</v>
      </c>
      <c r="G24" s="48">
        <f>SUM(G4:G23)</f>
        <v>29.751</v>
      </c>
      <c r="H24" s="50">
        <f>SUM(H4:H23)+0.001</f>
        <v>13.298</v>
      </c>
      <c r="I24" s="49">
        <f>SUM(I4:I23)</f>
        <v>13.985000000000001</v>
      </c>
      <c r="J24" s="48">
        <f>SUM(J4:J23)+0.001</f>
        <v>40.1462285</v>
      </c>
      <c r="K24" s="50">
        <f>SUM(K4:K23)-0.001</f>
        <v>18.153499999999998</v>
      </c>
      <c r="L24" s="49">
        <f>SUM(L4:L23)-0.001</f>
        <v>16.4797715</v>
      </c>
      <c r="M24" s="48">
        <f>SUM(M4:M23)+0.002</f>
        <v>41.059000000000005</v>
      </c>
      <c r="N24" s="50">
        <f>SUM(N4:N23)-0.001</f>
        <v>17.945999999999998</v>
      </c>
      <c r="O24" s="49">
        <f>SUM(O4:O23)-0.006</f>
        <v>19.042</v>
      </c>
      <c r="P24" s="48">
        <f>SUM(P4:P23)-0.003</f>
        <v>39.577000000000005</v>
      </c>
      <c r="Q24" s="50">
        <f>SUM(Q4:Q23)</f>
        <v>17.32</v>
      </c>
      <c r="R24" s="49">
        <f>SUM(R4:R23)</f>
        <v>16.862000000000002</v>
      </c>
      <c r="S24" s="48">
        <f>SUM(S4:S23)</f>
        <v>40.707</v>
      </c>
      <c r="T24" s="50">
        <f>SUM(T4:T23)</f>
        <v>17.71</v>
      </c>
      <c r="U24" s="49">
        <f>SUM(U4:U23)-0.001</f>
        <v>18.145</v>
      </c>
      <c r="V24" s="48">
        <f>SUM(V4:V23)-0.004</f>
        <v>43.382000000000005</v>
      </c>
      <c r="W24" s="50">
        <f>SUM(W4:W23)+0.003</f>
        <v>16.469</v>
      </c>
      <c r="X24" s="49">
        <f>SUM(X4:X23)+0.004</f>
        <v>14.394999999999998</v>
      </c>
      <c r="Y24" s="48">
        <f>SUM(Y4:Y23)-0.007</f>
        <v>265.92422849999997</v>
      </c>
      <c r="Z24" s="50">
        <f>SUM(Z4:Z23)</f>
        <v>118.66950000000001</v>
      </c>
      <c r="AA24" s="49">
        <f>SUM(AA4:AA23)+0.002</f>
        <v>98.9137715</v>
      </c>
      <c r="AB24" s="51"/>
      <c r="AC24" s="51"/>
    </row>
    <row r="25" spans="1:27" ht="12.75">
      <c r="A25" s="15"/>
      <c r="B25" s="15"/>
      <c r="C25" s="58"/>
      <c r="D25" s="24"/>
      <c r="E25" s="24"/>
      <c r="F25" s="24"/>
      <c r="G25" s="36"/>
      <c r="H25" s="17"/>
      <c r="I25" s="36"/>
      <c r="J25" s="17"/>
      <c r="K25" s="17"/>
      <c r="L25" s="36"/>
      <c r="M25" s="17"/>
      <c r="N25" s="17"/>
      <c r="O25" s="36"/>
      <c r="P25" s="17"/>
      <c r="Q25" s="17"/>
      <c r="R25" s="36"/>
      <c r="S25" s="17"/>
      <c r="T25" s="17"/>
      <c r="U25" s="36"/>
      <c r="V25" s="17"/>
      <c r="W25" s="17"/>
      <c r="X25" s="36"/>
      <c r="Y25" s="17"/>
      <c r="Z25" s="17"/>
      <c r="AA25" s="65"/>
    </row>
    <row r="26" spans="1:29" s="52" customFormat="1" ht="12.75">
      <c r="A26" s="15"/>
      <c r="B26" s="15"/>
      <c r="C26" s="59"/>
      <c r="E26" s="23"/>
      <c r="F26" s="23"/>
      <c r="G26" s="5"/>
      <c r="H26" s="5"/>
      <c r="I26" s="5"/>
      <c r="J26" s="10"/>
      <c r="K26" s="53"/>
      <c r="L26" s="64"/>
      <c r="M26" s="10"/>
      <c r="N26" s="53"/>
      <c r="O26" s="64"/>
      <c r="P26" s="10"/>
      <c r="Q26" s="5"/>
      <c r="R26" s="5"/>
      <c r="S26" s="10"/>
      <c r="T26" s="53"/>
      <c r="U26" s="64"/>
      <c r="V26" s="10"/>
      <c r="W26" s="53"/>
      <c r="X26" s="53"/>
      <c r="Y26" s="10"/>
      <c r="Z26" s="5"/>
      <c r="AA26" s="38"/>
      <c r="AB26" s="38"/>
      <c r="AC26" s="38"/>
    </row>
    <row r="27" spans="1:29" s="54" customFormat="1" ht="12.75">
      <c r="A27" s="55"/>
      <c r="B27" s="55"/>
      <c r="C27" s="59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3"/>
      <c r="AB27" s="23"/>
      <c r="AC27" s="23"/>
    </row>
    <row r="28" spans="1:29" ht="12.75">
      <c r="A28" s="15"/>
      <c r="B28" s="15"/>
      <c r="C28" s="60"/>
      <c r="D28" s="23"/>
      <c r="E28" s="23"/>
      <c r="F28" s="23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</sheetData>
  <mergeCells count="17">
    <mergeCell ref="M2:O2"/>
    <mergeCell ref="P1:R1"/>
    <mergeCell ref="P2:R2"/>
    <mergeCell ref="G1:I1"/>
    <mergeCell ref="G2:I2"/>
    <mergeCell ref="J1:L1"/>
    <mergeCell ref="J2:L2"/>
    <mergeCell ref="A2:C2"/>
    <mergeCell ref="D1:F1"/>
    <mergeCell ref="D2:F2"/>
    <mergeCell ref="Y1:AA1"/>
    <mergeCell ref="Y2:AA2"/>
    <mergeCell ref="S1:U1"/>
    <mergeCell ref="S2:U2"/>
    <mergeCell ref="V1:X1"/>
    <mergeCell ref="V2:X2"/>
    <mergeCell ref="M1:O1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1" r:id="rId1"/>
  <headerFooter alignWithMargins="0">
    <oddHeader>&amp;CPSR 2000-2006</oddHeader>
    <oddFooter>&amp;C&amp;"Arial Narrow,Normale"&amp;10&amp;F&amp;R&amp;A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Ufficio Informatica d'Ufficio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PB11659</dc:creator>
  <cp:keywords/>
  <dc:description/>
  <cp:lastModifiedBy>PB11659</cp:lastModifiedBy>
  <cp:lastPrinted>2003-02-24T14:49:07Z</cp:lastPrinted>
  <dcterms:created xsi:type="dcterms:W3CDTF">2000-05-19T08:01:38Z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