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195" windowWidth="11970" windowHeight="3255" tabRatio="693" activeTab="0"/>
  </bookViews>
  <sheets>
    <sheet name="1) costi totali e UE" sheetId="1" r:id="rId1"/>
    <sheet name="2) spesa pubblica totale e UE" sheetId="2" r:id="rId2"/>
    <sheet name="3) costi totali e Bolzano" sheetId="3" r:id="rId3"/>
    <sheet name="4) costi totali e Stato" sheetId="4" r:id="rId4"/>
    <sheet name="5) Top Up e costi totali" sheetId="5" r:id="rId5"/>
    <sheet name="6) Top Up e quota BZ" sheetId="6" r:id="rId6"/>
  </sheets>
  <definedNames/>
  <calcPr fullCalcOnLoad="1"/>
</workbook>
</file>

<file path=xl/sharedStrings.xml><?xml version="1.0" encoding="utf-8"?>
<sst xmlns="http://schemas.openxmlformats.org/spreadsheetml/2006/main" count="380" uniqueCount="53">
  <si>
    <t>misure</t>
  </si>
  <si>
    <t>totale</t>
  </si>
  <si>
    <t>spesa totale</t>
  </si>
  <si>
    <t>contributo UE</t>
  </si>
  <si>
    <t>Programma</t>
  </si>
  <si>
    <t>Reg. 2078 in corso</t>
  </si>
  <si>
    <t xml:space="preserve"> anno </t>
  </si>
  <si>
    <t>imboschimento delle superfici agricole (NOTA BENE: Reg. 2080 in corso anni 2001 e 2002!)</t>
  </si>
  <si>
    <t>15 A</t>
  </si>
  <si>
    <t>15 B 1</t>
  </si>
  <si>
    <t>15 B 2</t>
  </si>
  <si>
    <t>5 - II</t>
  </si>
  <si>
    <t>5 - II a</t>
  </si>
  <si>
    <t>5 - II b</t>
  </si>
  <si>
    <t>Investimenti nelle aziende agricole (articoli 4-7)</t>
  </si>
  <si>
    <t>Insediamento dei giovani agricoltori (art.8)</t>
  </si>
  <si>
    <t>Prepensionamento (articoli 10 -12)</t>
  </si>
  <si>
    <t>ricomposizione fondiaria (articolo 33, 2°)</t>
  </si>
  <si>
    <t>altre misure forestali - Sostegno agli investimenti a favore della trasformazione e commercializzazione dei prodotti forestali</t>
  </si>
  <si>
    <t>Miglioramento e razionalizzazione delle condizioni per il raccolto, la trasformazione e commercializzazione dei prodotti della selvicoltura (art. 30, 3°)</t>
  </si>
  <si>
    <t>Sviluppo e miglioramento della competitività dei prodotti forestali, nonché misure a sostegno di azioni riguardanti iniziative collettive per la commercializzazione ed iniziative promozionali (art.30, 4°)</t>
  </si>
  <si>
    <t>5 - I</t>
  </si>
  <si>
    <t>5 - I A</t>
  </si>
  <si>
    <t>5 - I B</t>
  </si>
  <si>
    <t>Investimenti nell'agriturismo (art. 33, 10°)</t>
  </si>
  <si>
    <t>miglioramento delle condizioni di trasformazione e commercializzazione dei prodotti agricoli (articoli 25 -28)</t>
  </si>
  <si>
    <t>avviamento di servizi di sostituzione e di assistenza alla gestione delle aziende agricole (art.33, 3°)</t>
  </si>
  <si>
    <t>Formazione (art. 9)</t>
  </si>
  <si>
    <t>diversificazione delle attività del settore agricolo e delle attività affini allo scopo di sviluppare attvità plurime o fonti alternative di reddito (art.33, 7°)</t>
  </si>
  <si>
    <t>commercializzazione di prodotti agricoli di qualità (art. 33,4°)</t>
  </si>
  <si>
    <t>sviluppo e miglioramento delle infrastrutture connesse allo sviluppo dell'agricoltura (art.33, 9°)</t>
  </si>
  <si>
    <t>gestione delle risorse idriche in agricoltura (art.33, 8°)</t>
  </si>
  <si>
    <t>misure agro-ambientali (articoli 22 - 24)</t>
  </si>
  <si>
    <t>zone svantaggiate e zone soggette a vincoli ambientali - indennità compensativa (articoli 15, a) e 16)</t>
  </si>
  <si>
    <t>Misure volte alla tutela dell'ambiente, in relazione all'agricoltura, alla conservazione delle risorse naturali nonché al benessere degli animali (art.33, 11°)</t>
  </si>
  <si>
    <t>Misure volte alla conservazione ed alla gestione sostenibile dei boschi ed al potenziamento della loro funzione ambientale e protettiva (art.30, 2°)</t>
  </si>
  <si>
    <t>15 B</t>
  </si>
  <si>
    <t>premi differenziati per utilizzazioni boschive in condizioni disagiate</t>
  </si>
  <si>
    <t>Misure per la conservazione e la gestione sostenibile dei boschi e per il potenziamento della loro funzione ambientale e protettiva</t>
  </si>
  <si>
    <t>Investimenti nell'agriturismo e in infrastrutture connesse al turismo rurale, inclusa l'informazione nel settore forestale (art. 33, 10°)</t>
  </si>
  <si>
    <t>Investimenti in infrastrutture connesse al turismo rurale, inclusa l'informazione nel settore forestale (art. 33, 10°)</t>
  </si>
  <si>
    <t>spesa pubblica totale</t>
  </si>
  <si>
    <t>contributo BZ</t>
  </si>
  <si>
    <t>contributo Stato</t>
  </si>
  <si>
    <t>top-up Bolzano</t>
  </si>
  <si>
    <t>Risorse del FEOGA sezione Garanzia per le misure di promozione dell'adeguamento e dello sviluppo delle zone rurali (articolo 33 del regolamento (CE) n.1257/99 nelle zone (rurali) dell'obiettivo 2: 6,871 milioni di euro (56,6% del totale per l'articolo 33)</t>
  </si>
  <si>
    <t xml:space="preserve">Tabella di pianificazione finanziaria: PSR della Provincia Autonoma di Bolzano - 2000/2006 - </t>
  </si>
  <si>
    <t>spesa (costi) totali e quota FEOGA per anno e per misura</t>
  </si>
  <si>
    <t>spesa pubblica totale (UE, Stato e Bolzano) e quota FEOGA per anno e per misura</t>
  </si>
  <si>
    <t>spesa (costi) totali e quota Bolzano per anno e per misura</t>
  </si>
  <si>
    <t>spesa (costi) totali e quota Stato per anno e per misura</t>
  </si>
  <si>
    <t>TOP-UP AIUTI DI STATO - spesa (costi) totali e quota Bolzano per anno e per misura</t>
  </si>
  <si>
    <t>TOP-UP AIUTI DI STATO - spesa pubblica totale (Bolzano) e quota Bolzano per anno e per misura</t>
  </si>
</sst>
</file>

<file path=xl/styles.xml><?xml version="1.0" encoding="utf-8"?>
<styleSheet xmlns="http://schemas.openxmlformats.org/spreadsheetml/2006/main">
  <numFmts count="22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0.000"/>
    <numFmt numFmtId="174" formatCode="0.0000"/>
    <numFmt numFmtId="175" formatCode="0.0000000"/>
    <numFmt numFmtId="176" formatCode="0.000000"/>
    <numFmt numFmtId="177" formatCode="0.00000"/>
  </numFmts>
  <fonts count="9">
    <font>
      <sz val="9"/>
      <name val="Arial"/>
      <family val="0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Border="1" applyAlignment="1">
      <alignment horizontal="left" vertical="top" wrapText="1"/>
    </xf>
    <xf numFmtId="2" fontId="4" fillId="0" borderId="0" xfId="0" applyNumberFormat="1" applyFont="1" applyAlignment="1">
      <alignment/>
    </xf>
    <xf numFmtId="0" fontId="5" fillId="0" borderId="1" xfId="0" applyFont="1" applyFill="1" applyBorder="1" applyAlignment="1">
      <alignment horizontal="justify" vertical="center" wrapText="1"/>
    </xf>
    <xf numFmtId="0" fontId="3" fillId="0" borderId="1" xfId="0" applyFont="1" applyBorder="1" applyAlignment="1">
      <alignment vertical="center"/>
    </xf>
    <xf numFmtId="173" fontId="1" fillId="0" borderId="1" xfId="0" applyNumberFormat="1" applyFont="1" applyFill="1" applyBorder="1" applyAlignment="1">
      <alignment/>
    </xf>
    <xf numFmtId="173" fontId="1" fillId="0" borderId="0" xfId="0" applyNumberFormat="1" applyFont="1" applyFill="1" applyAlignment="1">
      <alignment/>
    </xf>
    <xf numFmtId="0" fontId="6" fillId="0" borderId="1" xfId="0" applyFont="1" applyFill="1" applyBorder="1" applyAlignment="1">
      <alignment horizontal="justify" vertical="center" wrapText="1"/>
    </xf>
    <xf numFmtId="173" fontId="3" fillId="0" borderId="1" xfId="0" applyNumberFormat="1" applyFont="1" applyFill="1" applyBorder="1" applyAlignment="1">
      <alignment/>
    </xf>
    <xf numFmtId="173" fontId="1" fillId="0" borderId="0" xfId="0" applyNumberFormat="1" applyFont="1" applyAlignment="1">
      <alignment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3" fillId="0" borderId="1" xfId="0" applyFont="1" applyFill="1" applyBorder="1" applyAlignment="1">
      <alignment vertical="center"/>
    </xf>
    <xf numFmtId="0" fontId="3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2" fontId="4" fillId="0" borderId="0" xfId="0" applyNumberFormat="1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2" borderId="2" xfId="0" applyFont="1" applyFill="1" applyBorder="1" applyAlignment="1">
      <alignment horizontal="center" wrapText="1"/>
    </xf>
    <xf numFmtId="173" fontId="7" fillId="2" borderId="1" xfId="0" applyNumberFormat="1" applyFont="1" applyFill="1" applyBorder="1" applyAlignment="1">
      <alignment/>
    </xf>
    <xf numFmtId="173" fontId="7" fillId="2" borderId="3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7" fillId="2" borderId="4" xfId="0" applyFont="1" applyFill="1" applyBorder="1" applyAlignment="1">
      <alignment horizontal="center" wrapText="1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173" fontId="7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173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5" fillId="0" borderId="2" xfId="0" applyFont="1" applyFill="1" applyBorder="1" applyAlignment="1">
      <alignment horizontal="justify" vertical="center" wrapText="1"/>
    </xf>
    <xf numFmtId="173" fontId="1" fillId="0" borderId="1" xfId="0" applyNumberFormat="1" applyFont="1" applyBorder="1" applyAlignment="1">
      <alignment/>
    </xf>
    <xf numFmtId="0" fontId="8" fillId="0" borderId="1" xfId="0" applyFont="1" applyFill="1" applyBorder="1" applyAlignment="1">
      <alignment horizontal="justify" vertical="center" wrapText="1"/>
    </xf>
    <xf numFmtId="0" fontId="3" fillId="0" borderId="1" xfId="0" applyFont="1" applyBorder="1" applyAlignment="1">
      <alignment/>
    </xf>
    <xf numFmtId="173" fontId="3" fillId="0" borderId="1" xfId="0" applyNumberFormat="1" applyFont="1" applyBorder="1" applyAlignment="1">
      <alignment/>
    </xf>
    <xf numFmtId="0" fontId="1" fillId="0" borderId="0" xfId="0" applyFont="1" applyBorder="1" applyAlignment="1">
      <alignment/>
    </xf>
    <xf numFmtId="2" fontId="1" fillId="0" borderId="0" xfId="0" applyNumberFormat="1" applyFont="1" applyFill="1" applyAlignment="1">
      <alignment/>
    </xf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/>
    </xf>
    <xf numFmtId="173" fontId="1" fillId="3" borderId="4" xfId="0" applyNumberFormat="1" applyFont="1" applyFill="1" applyBorder="1" applyAlignment="1">
      <alignment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right" vertical="center"/>
    </xf>
    <xf numFmtId="0" fontId="1" fillId="3" borderId="1" xfId="0" applyFont="1" applyFill="1" applyBorder="1" applyAlignment="1">
      <alignment vertical="center"/>
    </xf>
    <xf numFmtId="0" fontId="1" fillId="3" borderId="4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/>
    </xf>
    <xf numFmtId="0" fontId="1" fillId="3" borderId="2" xfId="0" applyFont="1" applyFill="1" applyBorder="1" applyAlignment="1">
      <alignment horizontal="left" vertical="center"/>
    </xf>
    <xf numFmtId="0" fontId="4" fillId="0" borderId="0" xfId="0" applyFont="1" applyAlignment="1">
      <alignment/>
    </xf>
    <xf numFmtId="0" fontId="3" fillId="3" borderId="10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>
    <pageSetUpPr fitToPage="1"/>
  </sheetPr>
  <dimension ref="A1:U36"/>
  <sheetViews>
    <sheetView showGridLines="0" showZeros="0" tabSelected="1" workbookViewId="0" topLeftCell="A5">
      <pane ySplit="3" topLeftCell="BM26" activePane="bottomLeft" state="frozen"/>
      <selection pane="topLeft" activeCell="J45" sqref="J45"/>
      <selection pane="bottomLeft" activeCell="A33" sqref="A33"/>
    </sheetView>
  </sheetViews>
  <sheetFormatPr defaultColWidth="9.140625" defaultRowHeight="12"/>
  <cols>
    <col min="1" max="1" width="6.8515625" style="1" customWidth="1"/>
    <col min="2" max="2" width="30.00390625" style="1" customWidth="1"/>
    <col min="3" max="3" width="10.28125" style="22" customWidth="1"/>
    <col min="4" max="4" width="11.421875" style="22" customWidth="1"/>
    <col min="5" max="5" width="10.00390625" style="5" customWidth="1"/>
    <col min="6" max="6" width="11.140625" style="19" customWidth="1"/>
    <col min="7" max="18" width="10.00390625" style="5" customWidth="1"/>
    <col min="19" max="16384" width="9.140625" style="1" customWidth="1"/>
  </cols>
  <sheetData>
    <row r="1" ht="12.75">
      <c r="A1" s="4" t="s">
        <v>46</v>
      </c>
    </row>
    <row r="2" ht="12.75">
      <c r="A2" s="4"/>
    </row>
    <row r="3" ht="12.75">
      <c r="A3" s="58" t="s">
        <v>47</v>
      </c>
    </row>
    <row r="5" spans="1:18" s="2" customFormat="1" ht="12.75">
      <c r="A5" s="43"/>
      <c r="B5" s="44"/>
      <c r="C5" s="68" t="s">
        <v>6</v>
      </c>
      <c r="D5" s="68"/>
      <c r="E5" s="69" t="s">
        <v>6</v>
      </c>
      <c r="F5" s="68"/>
      <c r="G5" s="65" t="s">
        <v>6</v>
      </c>
      <c r="H5" s="66"/>
      <c r="I5" s="65" t="s">
        <v>6</v>
      </c>
      <c r="J5" s="66"/>
      <c r="K5" s="65" t="s">
        <v>6</v>
      </c>
      <c r="L5" s="66"/>
      <c r="M5" s="65" t="s">
        <v>6</v>
      </c>
      <c r="N5" s="66"/>
      <c r="O5" s="65" t="s">
        <v>6</v>
      </c>
      <c r="P5" s="67"/>
      <c r="Q5" s="66" t="s">
        <v>1</v>
      </c>
      <c r="R5" s="67"/>
    </row>
    <row r="6" spans="1:18" s="2" customFormat="1" ht="12.75">
      <c r="A6" s="45"/>
      <c r="B6" s="46" t="s">
        <v>0</v>
      </c>
      <c r="C6" s="62">
        <v>2000</v>
      </c>
      <c r="D6" s="62"/>
      <c r="E6" s="63">
        <v>2001</v>
      </c>
      <c r="F6" s="64"/>
      <c r="G6" s="59">
        <v>2002</v>
      </c>
      <c r="H6" s="59"/>
      <c r="I6" s="60">
        <v>2003</v>
      </c>
      <c r="J6" s="61"/>
      <c r="K6" s="59">
        <v>2004</v>
      </c>
      <c r="L6" s="59"/>
      <c r="M6" s="60">
        <v>2005</v>
      </c>
      <c r="N6" s="61"/>
      <c r="O6" s="60">
        <v>2006</v>
      </c>
      <c r="P6" s="61"/>
      <c r="Q6" s="59"/>
      <c r="R6" s="61"/>
    </row>
    <row r="7" spans="1:18" ht="25.5">
      <c r="A7" s="47"/>
      <c r="B7" s="48"/>
      <c r="C7" s="24" t="s">
        <v>2</v>
      </c>
      <c r="D7" s="24" t="s">
        <v>3</v>
      </c>
      <c r="E7" s="24" t="s">
        <v>2</v>
      </c>
      <c r="F7" s="24" t="s">
        <v>3</v>
      </c>
      <c r="G7" s="51" t="s">
        <v>2</v>
      </c>
      <c r="H7" s="51" t="s">
        <v>3</v>
      </c>
      <c r="I7" s="51" t="s">
        <v>2</v>
      </c>
      <c r="J7" s="51" t="s">
        <v>3</v>
      </c>
      <c r="K7" s="51" t="s">
        <v>2</v>
      </c>
      <c r="L7" s="51" t="s">
        <v>3</v>
      </c>
      <c r="M7" s="51" t="s">
        <v>2</v>
      </c>
      <c r="N7" s="51" t="s">
        <v>3</v>
      </c>
      <c r="O7" s="51" t="s">
        <v>2</v>
      </c>
      <c r="P7" s="51" t="s">
        <v>3</v>
      </c>
      <c r="Q7" s="51" t="s">
        <v>2</v>
      </c>
      <c r="R7" s="51" t="s">
        <v>3</v>
      </c>
    </row>
    <row r="8" spans="1:19" s="5" customFormat="1" ht="21">
      <c r="A8" s="52">
        <v>1</v>
      </c>
      <c r="B8" s="8" t="s">
        <v>14</v>
      </c>
      <c r="C8" s="25">
        <v>0</v>
      </c>
      <c r="D8" s="25">
        <v>0</v>
      </c>
      <c r="E8" s="25">
        <f>4.366-0.057</f>
        <v>4.308999999999999</v>
      </c>
      <c r="F8" s="25">
        <f>0.687-0.009</f>
        <v>0.678</v>
      </c>
      <c r="G8" s="10">
        <f>6.83-1+0.707+0.057</f>
        <v>6.594</v>
      </c>
      <c r="H8" s="10">
        <f>+G8*0.15-0.032+0.001</f>
        <v>0.9581</v>
      </c>
      <c r="I8" s="10">
        <f>7.235-1</f>
        <v>6.235</v>
      </c>
      <c r="J8" s="10">
        <f>+I8*0.15</f>
        <v>0.93525</v>
      </c>
      <c r="K8" s="10">
        <f>9.905-1</f>
        <v>8.905</v>
      </c>
      <c r="L8" s="10">
        <f>+K8*0.15</f>
        <v>1.3357499999999998</v>
      </c>
      <c r="M8" s="10">
        <f>9.859-1</f>
        <v>8.859</v>
      </c>
      <c r="N8" s="10">
        <f>+M8*0.15</f>
        <v>1.3288499999999999</v>
      </c>
      <c r="O8" s="10">
        <f>10.098-1</f>
        <v>9.098</v>
      </c>
      <c r="P8" s="10">
        <f>+O8*0.15</f>
        <v>1.3647</v>
      </c>
      <c r="Q8" s="10">
        <f>+O8+M8+K8+I8+G8+E8+C8</f>
        <v>44</v>
      </c>
      <c r="R8" s="10">
        <f>+P8+N8+L8+J8+H8+F8+D8-0.001</f>
        <v>6.59965</v>
      </c>
      <c r="S8" s="11"/>
    </row>
    <row r="9" spans="1:18" ht="21">
      <c r="A9" s="52">
        <v>2</v>
      </c>
      <c r="B9" s="8" t="s">
        <v>15</v>
      </c>
      <c r="C9" s="25">
        <v>0</v>
      </c>
      <c r="D9" s="25">
        <v>0</v>
      </c>
      <c r="E9" s="25">
        <v>0.575</v>
      </c>
      <c r="F9" s="25">
        <v>0.287</v>
      </c>
      <c r="G9" s="10">
        <v>1.731</v>
      </c>
      <c r="H9" s="10">
        <v>0.867</v>
      </c>
      <c r="I9" s="10">
        <v>0.886</v>
      </c>
      <c r="J9" s="10">
        <v>0.443</v>
      </c>
      <c r="K9" s="10">
        <v>0.886</v>
      </c>
      <c r="L9" s="10">
        <v>0.443</v>
      </c>
      <c r="M9" s="10">
        <v>0.886</v>
      </c>
      <c r="N9" s="10">
        <v>0.443</v>
      </c>
      <c r="O9" s="10">
        <v>0.888</v>
      </c>
      <c r="P9" s="10">
        <v>0.445</v>
      </c>
      <c r="Q9" s="10">
        <f>+O9+M9+K9+I9+G9+E9+C9</f>
        <v>5.852</v>
      </c>
      <c r="R9" s="10">
        <f>+P9+N9+L9+J9+H9+F9+D9-0.002</f>
        <v>2.926</v>
      </c>
    </row>
    <row r="10" spans="1:18" ht="12.75">
      <c r="A10" s="52">
        <v>3</v>
      </c>
      <c r="B10" s="8" t="s">
        <v>16</v>
      </c>
      <c r="C10" s="25">
        <v>0</v>
      </c>
      <c r="D10" s="25">
        <v>0</v>
      </c>
      <c r="E10" s="25">
        <v>0</v>
      </c>
      <c r="F10" s="25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f>+O10+M10+K10+I10+G10+E10+C10</f>
        <v>0</v>
      </c>
      <c r="R10" s="10">
        <f>+P10+N10+L10+J10+H10+F10+D10</f>
        <v>0</v>
      </c>
    </row>
    <row r="11" spans="1:18" ht="21">
      <c r="A11" s="52">
        <v>4</v>
      </c>
      <c r="B11" s="8" t="s">
        <v>17</v>
      </c>
      <c r="C11" s="25">
        <v>0</v>
      </c>
      <c r="D11" s="25">
        <v>0</v>
      </c>
      <c r="E11" s="25">
        <v>0</v>
      </c>
      <c r="F11" s="25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f>+O11+M11+K11+I11+G11+E11+C11</f>
        <v>0</v>
      </c>
      <c r="R11" s="10">
        <f>+P11+N11+L11+J11+H11+F11+D11</f>
        <v>0</v>
      </c>
    </row>
    <row r="12" spans="1:19" s="5" customFormat="1" ht="42">
      <c r="A12" s="52" t="s">
        <v>21</v>
      </c>
      <c r="B12" s="8" t="s">
        <v>39</v>
      </c>
      <c r="C12" s="25">
        <v>0</v>
      </c>
      <c r="D12" s="25">
        <v>0</v>
      </c>
      <c r="E12" s="25">
        <f>SUM(E13:E14)</f>
        <v>1.778</v>
      </c>
      <c r="F12" s="25">
        <f aca="true" t="shared" si="0" ref="F12:P12">SUM(F13:F14)</f>
        <v>0.258</v>
      </c>
      <c r="G12" s="10">
        <f t="shared" si="0"/>
        <v>2.362</v>
      </c>
      <c r="H12" s="10">
        <f t="shared" si="0"/>
        <v>0.517</v>
      </c>
      <c r="I12" s="10">
        <f t="shared" si="0"/>
        <v>3.153</v>
      </c>
      <c r="J12" s="10">
        <f t="shared" si="0"/>
        <v>0.5630000000000001</v>
      </c>
      <c r="K12" s="10">
        <f t="shared" si="0"/>
        <v>3.153</v>
      </c>
      <c r="L12" s="10">
        <f t="shared" si="0"/>
        <v>0.5630000000000001</v>
      </c>
      <c r="M12" s="10">
        <f t="shared" si="0"/>
        <v>2.947</v>
      </c>
      <c r="N12" s="10">
        <f t="shared" si="0"/>
        <v>0.53205</v>
      </c>
      <c r="O12" s="10">
        <f t="shared" si="0"/>
        <v>2.967</v>
      </c>
      <c r="P12" s="10">
        <f t="shared" si="0"/>
        <v>0.56105</v>
      </c>
      <c r="Q12" s="10">
        <f aca="true" t="shared" si="1" ref="Q12:R17">SUM(O12+M12+K12+I12+G12+E12)</f>
        <v>16.36</v>
      </c>
      <c r="R12" s="10">
        <f t="shared" si="1"/>
        <v>2.9941000000000004</v>
      </c>
      <c r="S12" s="11"/>
    </row>
    <row r="13" spans="1:18" s="5" customFormat="1" ht="21">
      <c r="A13" s="52" t="s">
        <v>22</v>
      </c>
      <c r="B13" s="8" t="s">
        <v>24</v>
      </c>
      <c r="C13" s="25"/>
      <c r="D13" s="25"/>
      <c r="E13" s="25">
        <v>1.778</v>
      </c>
      <c r="F13" s="25">
        <v>0.258</v>
      </c>
      <c r="G13" s="10">
        <v>0.822</v>
      </c>
      <c r="H13" s="10">
        <v>0.132</v>
      </c>
      <c r="I13" s="10">
        <v>2.253</v>
      </c>
      <c r="J13" s="10">
        <v>0.338</v>
      </c>
      <c r="K13" s="10">
        <v>2.253</v>
      </c>
      <c r="L13" s="10">
        <v>0.338</v>
      </c>
      <c r="M13" s="10">
        <v>2.047</v>
      </c>
      <c r="N13" s="10">
        <f>+M13*0.15</f>
        <v>0.30705</v>
      </c>
      <c r="O13" s="10">
        <v>1.807</v>
      </c>
      <c r="P13" s="10">
        <f>+O13*0.15</f>
        <v>0.27104999999999996</v>
      </c>
      <c r="Q13" s="10">
        <f t="shared" si="1"/>
        <v>10.959999999999999</v>
      </c>
      <c r="R13" s="10">
        <f t="shared" si="1"/>
        <v>1.6441</v>
      </c>
    </row>
    <row r="14" spans="1:19" s="5" customFormat="1" ht="42">
      <c r="A14" s="52" t="s">
        <v>23</v>
      </c>
      <c r="B14" s="8" t="s">
        <v>40</v>
      </c>
      <c r="C14" s="25"/>
      <c r="D14" s="25"/>
      <c r="E14" s="25">
        <v>0</v>
      </c>
      <c r="F14" s="25">
        <v>0</v>
      </c>
      <c r="G14" s="10">
        <f>0.9+0.64</f>
        <v>1.54</v>
      </c>
      <c r="H14" s="10">
        <f>0.225+0.16</f>
        <v>0.385</v>
      </c>
      <c r="I14" s="10">
        <f>0.9</f>
        <v>0.9</v>
      </c>
      <c r="J14" s="10">
        <v>0.225</v>
      </c>
      <c r="K14" s="10">
        <f>0.9</f>
        <v>0.9</v>
      </c>
      <c r="L14" s="10">
        <v>0.225</v>
      </c>
      <c r="M14" s="10">
        <f>0.9</f>
        <v>0.9</v>
      </c>
      <c r="N14" s="10">
        <v>0.225</v>
      </c>
      <c r="O14" s="10">
        <f>0.9+0.26</f>
        <v>1.1600000000000001</v>
      </c>
      <c r="P14" s="10">
        <f>0.225+0.065</f>
        <v>0.29000000000000004</v>
      </c>
      <c r="Q14" s="10">
        <f t="shared" si="1"/>
        <v>5.4</v>
      </c>
      <c r="R14" s="10">
        <f t="shared" si="1"/>
        <v>1.35</v>
      </c>
      <c r="S14" s="11"/>
    </row>
    <row r="15" spans="1:19" ht="52.5">
      <c r="A15" s="52" t="s">
        <v>11</v>
      </c>
      <c r="B15" s="8" t="s">
        <v>18</v>
      </c>
      <c r="C15" s="25">
        <v>0</v>
      </c>
      <c r="D15" s="25">
        <v>0</v>
      </c>
      <c r="E15" s="25">
        <f aca="true" t="shared" si="2" ref="E15:P15">SUM(E16:E17)</f>
        <v>0.125</v>
      </c>
      <c r="F15" s="25">
        <f t="shared" si="2"/>
        <v>0.02325</v>
      </c>
      <c r="G15" s="10">
        <f t="shared" si="2"/>
        <v>1.6750000000000003</v>
      </c>
      <c r="H15" s="10">
        <f t="shared" si="2"/>
        <v>0.2833833333333333</v>
      </c>
      <c r="I15" s="10">
        <f t="shared" si="2"/>
        <v>0.9</v>
      </c>
      <c r="J15" s="10">
        <f t="shared" si="2"/>
        <v>0.15333333333333332</v>
      </c>
      <c r="K15" s="10">
        <f t="shared" si="2"/>
        <v>0.9</v>
      </c>
      <c r="L15" s="10">
        <f t="shared" si="2"/>
        <v>0.15333333333333332</v>
      </c>
      <c r="M15" s="10">
        <f t="shared" si="2"/>
        <v>0.9</v>
      </c>
      <c r="N15" s="10">
        <f t="shared" si="2"/>
        <v>0.15333333333333332</v>
      </c>
      <c r="O15" s="10">
        <f t="shared" si="2"/>
        <v>0.9</v>
      </c>
      <c r="P15" s="10">
        <f t="shared" si="2"/>
        <v>0.15333333333333332</v>
      </c>
      <c r="Q15" s="10">
        <f t="shared" si="1"/>
        <v>5.4</v>
      </c>
      <c r="R15" s="10">
        <f t="shared" si="1"/>
        <v>0.9199666666666666</v>
      </c>
      <c r="S15" s="14"/>
    </row>
    <row r="16" spans="1:18" ht="52.5">
      <c r="A16" s="52" t="s">
        <v>12</v>
      </c>
      <c r="B16" s="8" t="s">
        <v>19</v>
      </c>
      <c r="C16" s="25"/>
      <c r="D16" s="25"/>
      <c r="E16" s="25">
        <v>0.08</v>
      </c>
      <c r="F16" s="25">
        <f>+E16*0.15</f>
        <v>0.012</v>
      </c>
      <c r="G16" s="10">
        <f>0.9*4.3/5.4+0.637</f>
        <v>1.3536666666666668</v>
      </c>
      <c r="H16" s="10">
        <f>+G16*0.15</f>
        <v>0.20305</v>
      </c>
      <c r="I16" s="10">
        <f>0.9*4.3/5.4</f>
        <v>0.7166666666666667</v>
      </c>
      <c r="J16" s="10">
        <f>+I16*0.15</f>
        <v>0.1075</v>
      </c>
      <c r="K16" s="10">
        <f>0.9*4.3/5.4</f>
        <v>0.7166666666666667</v>
      </c>
      <c r="L16" s="10">
        <f>+K16*0.15</f>
        <v>0.1075</v>
      </c>
      <c r="M16" s="10">
        <f>0.9*4.3/5.4</f>
        <v>0.7166666666666667</v>
      </c>
      <c r="N16" s="10">
        <f>+M16*0.15</f>
        <v>0.1075</v>
      </c>
      <c r="O16" s="10">
        <f>0.9*4.3/5.4</f>
        <v>0.7166666666666667</v>
      </c>
      <c r="P16" s="10">
        <f>+O16*0.15</f>
        <v>0.1075</v>
      </c>
      <c r="Q16" s="10">
        <f t="shared" si="1"/>
        <v>4.300333333333334</v>
      </c>
      <c r="R16" s="10">
        <f t="shared" si="1"/>
        <v>0.64505</v>
      </c>
    </row>
    <row r="17" spans="1:18" ht="63">
      <c r="A17" s="52" t="s">
        <v>13</v>
      </c>
      <c r="B17" s="8" t="s">
        <v>20</v>
      </c>
      <c r="C17" s="25"/>
      <c r="D17" s="25"/>
      <c r="E17" s="25">
        <v>0.045</v>
      </c>
      <c r="F17" s="25">
        <f>+E17*0.25</f>
        <v>0.01125</v>
      </c>
      <c r="G17" s="10">
        <f>0.9*1.1/5.4+0.138</f>
        <v>0.32133333333333336</v>
      </c>
      <c r="H17" s="10">
        <f>+G17*0.25</f>
        <v>0.08033333333333334</v>
      </c>
      <c r="I17" s="10">
        <f>0.9*1.1/5.4</f>
        <v>0.18333333333333335</v>
      </c>
      <c r="J17" s="10">
        <f>+I17*0.25</f>
        <v>0.04583333333333334</v>
      </c>
      <c r="K17" s="10">
        <f>0.9*1.1/5.4</f>
        <v>0.18333333333333335</v>
      </c>
      <c r="L17" s="10">
        <f>+K17*0.25</f>
        <v>0.04583333333333334</v>
      </c>
      <c r="M17" s="10">
        <f>0.9*1.1/5.4</f>
        <v>0.18333333333333335</v>
      </c>
      <c r="N17" s="10">
        <f>+M17*0.25</f>
        <v>0.04583333333333334</v>
      </c>
      <c r="O17" s="10">
        <f>0.9*1.1/5.4</f>
        <v>0.18333333333333335</v>
      </c>
      <c r="P17" s="10">
        <f>+O17*0.25</f>
        <v>0.04583333333333334</v>
      </c>
      <c r="Q17" s="10">
        <f t="shared" si="1"/>
        <v>1.0996666666666668</v>
      </c>
      <c r="R17" s="10">
        <f t="shared" si="1"/>
        <v>0.2749166666666667</v>
      </c>
    </row>
    <row r="18" spans="1:18" ht="31.5">
      <c r="A18" s="52"/>
      <c r="B18" s="8" t="s">
        <v>7</v>
      </c>
      <c r="C18" s="25">
        <v>0</v>
      </c>
      <c r="D18" s="25">
        <f>+C18/2</f>
        <v>0</v>
      </c>
      <c r="E18" s="25">
        <f>0.642-0.642</f>
        <v>0</v>
      </c>
      <c r="F18" s="25">
        <f>+E18/2</f>
        <v>0</v>
      </c>
      <c r="G18" s="10">
        <f>0.358+0.642</f>
        <v>1</v>
      </c>
      <c r="H18" s="10">
        <f>+G18*0.5</f>
        <v>0.5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f>+O18+M18+K18+I18+G18+E18+C18</f>
        <v>1</v>
      </c>
      <c r="R18" s="10">
        <f>+P18+N18+L18+J18+H18+F18+D18</f>
        <v>0.5</v>
      </c>
    </row>
    <row r="19" spans="1:18" ht="42">
      <c r="A19" s="52">
        <v>6</v>
      </c>
      <c r="B19" s="8" t="s">
        <v>25</v>
      </c>
      <c r="C19" s="25">
        <v>0</v>
      </c>
      <c r="D19" s="25">
        <v>0</v>
      </c>
      <c r="E19" s="25">
        <v>13.916</v>
      </c>
      <c r="F19" s="25">
        <v>2.087</v>
      </c>
      <c r="G19" s="10">
        <v>11.777</v>
      </c>
      <c r="H19" s="10">
        <v>1.769</v>
      </c>
      <c r="I19" s="10">
        <v>10.88</v>
      </c>
      <c r="J19" s="10">
        <v>1.632</v>
      </c>
      <c r="K19" s="10">
        <v>10.1</v>
      </c>
      <c r="L19" s="10">
        <v>1.515</v>
      </c>
      <c r="M19" s="10">
        <v>11.1</v>
      </c>
      <c r="N19" s="10">
        <v>1.665</v>
      </c>
      <c r="O19" s="10">
        <v>7.06</v>
      </c>
      <c r="P19" s="10">
        <v>1.059</v>
      </c>
      <c r="Q19" s="10">
        <f aca="true" t="shared" si="3" ref="Q19:Q25">+O19+M19+K19+I19+G19+E19+C19</f>
        <v>64.833</v>
      </c>
      <c r="R19" s="10">
        <f>+P19+N19+L19+J19+H19+F19+D19-0.002</f>
        <v>9.725</v>
      </c>
    </row>
    <row r="20" spans="1:18" ht="31.5">
      <c r="A20" s="52">
        <v>7</v>
      </c>
      <c r="B20" s="8" t="s">
        <v>26</v>
      </c>
      <c r="C20" s="25">
        <v>0</v>
      </c>
      <c r="D20" s="25">
        <v>0</v>
      </c>
      <c r="E20" s="25">
        <v>0</v>
      </c>
      <c r="F20" s="25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f t="shared" si="3"/>
        <v>0</v>
      </c>
      <c r="R20" s="10">
        <f>+P20+N20+L20+J20+H20+F20+D20</f>
        <v>0</v>
      </c>
    </row>
    <row r="21" spans="1:18" ht="12.75">
      <c r="A21" s="52">
        <v>8</v>
      </c>
      <c r="B21" s="8" t="s">
        <v>27</v>
      </c>
      <c r="C21" s="25">
        <v>0</v>
      </c>
      <c r="D21" s="25">
        <v>0</v>
      </c>
      <c r="E21" s="25">
        <v>0.075</v>
      </c>
      <c r="F21" s="25">
        <v>0.038</v>
      </c>
      <c r="G21" s="10">
        <v>0.135</v>
      </c>
      <c r="H21" s="10">
        <v>0.068</v>
      </c>
      <c r="I21" s="10">
        <v>0.135</v>
      </c>
      <c r="J21" s="10">
        <v>0.068</v>
      </c>
      <c r="K21" s="10">
        <v>0.135</v>
      </c>
      <c r="L21" s="10">
        <v>0.068</v>
      </c>
      <c r="M21" s="10">
        <v>0.135</v>
      </c>
      <c r="N21" s="10">
        <v>0.068</v>
      </c>
      <c r="O21" s="10">
        <v>0.135</v>
      </c>
      <c r="P21" s="10">
        <v>0.068</v>
      </c>
      <c r="Q21" s="10">
        <f t="shared" si="3"/>
        <v>0.75</v>
      </c>
      <c r="R21" s="10">
        <f>+P21+N21+L21+J21+H21+F21+D21-0.003</f>
        <v>0.375</v>
      </c>
    </row>
    <row r="22" spans="1:18" ht="52.5">
      <c r="A22" s="52">
        <v>9</v>
      </c>
      <c r="B22" s="8" t="s">
        <v>28</v>
      </c>
      <c r="C22" s="25">
        <v>0</v>
      </c>
      <c r="D22" s="25">
        <v>0</v>
      </c>
      <c r="E22" s="25">
        <v>0</v>
      </c>
      <c r="F22" s="25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0.168</v>
      </c>
      <c r="N22" s="10">
        <v>0.031</v>
      </c>
      <c r="O22" s="10">
        <v>0.362</v>
      </c>
      <c r="P22" s="10">
        <v>0.067</v>
      </c>
      <c r="Q22" s="10">
        <f t="shared" si="3"/>
        <v>0.53</v>
      </c>
      <c r="R22" s="10">
        <f>+P22+N22+L22+J22+H22+F22+D22+0.002</f>
        <v>0.1</v>
      </c>
    </row>
    <row r="23" spans="1:18" ht="21">
      <c r="A23" s="52">
        <v>10</v>
      </c>
      <c r="B23" s="8" t="s">
        <v>29</v>
      </c>
      <c r="C23" s="25">
        <v>0</v>
      </c>
      <c r="D23" s="25">
        <v>0</v>
      </c>
      <c r="E23" s="25">
        <v>0</v>
      </c>
      <c r="F23" s="25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f t="shared" si="3"/>
        <v>0</v>
      </c>
      <c r="R23" s="10">
        <f>+P23+N23+L23+J23+H23+F23+D23</f>
        <v>0</v>
      </c>
    </row>
    <row r="24" spans="1:18" ht="31.5">
      <c r="A24" s="52">
        <v>11</v>
      </c>
      <c r="B24" s="8" t="s">
        <v>30</v>
      </c>
      <c r="C24" s="25">
        <v>0</v>
      </c>
      <c r="D24" s="25">
        <v>0</v>
      </c>
      <c r="E24" s="25">
        <v>0</v>
      </c>
      <c r="F24" s="25">
        <v>0</v>
      </c>
      <c r="G24" s="10">
        <f>2.369</f>
        <v>2.369</v>
      </c>
      <c r="H24" s="10">
        <f>0.701</f>
        <v>0.701</v>
      </c>
      <c r="I24" s="10">
        <v>2.49</v>
      </c>
      <c r="J24" s="10">
        <v>0.738</v>
      </c>
      <c r="K24" s="10">
        <v>2.491</v>
      </c>
      <c r="L24" s="10">
        <v>0.738</v>
      </c>
      <c r="M24" s="10">
        <f>1.883+0.45</f>
        <v>2.333</v>
      </c>
      <c r="N24" s="10">
        <f>0.558+0.133</f>
        <v>0.6910000000000001</v>
      </c>
      <c r="O24" s="10">
        <f>2.005+0.461</f>
        <v>2.4659999999999997</v>
      </c>
      <c r="P24" s="10">
        <f>0.595+0.137</f>
        <v>0.732</v>
      </c>
      <c r="Q24" s="10">
        <f t="shared" si="3"/>
        <v>12.149</v>
      </c>
      <c r="R24" s="10">
        <f>+P24+N24+L24+J24+H24+F24+D24</f>
        <v>3.6</v>
      </c>
    </row>
    <row r="25" spans="1:18" ht="21">
      <c r="A25" s="52">
        <v>12</v>
      </c>
      <c r="B25" s="8" t="s">
        <v>31</v>
      </c>
      <c r="C25" s="25">
        <v>0</v>
      </c>
      <c r="D25" s="25">
        <v>0</v>
      </c>
      <c r="E25" s="25">
        <v>2.76</v>
      </c>
      <c r="F25" s="25">
        <v>0.816</v>
      </c>
      <c r="G25" s="10">
        <f>3.283+2.201-1.459-0.675</f>
        <v>3.3500000000000005</v>
      </c>
      <c r="H25" s="10">
        <f>0.766+0.513-0.34-0.329</f>
        <v>0.6099999999999999</v>
      </c>
      <c r="I25" s="10">
        <v>3.339</v>
      </c>
      <c r="J25" s="10">
        <v>0.778</v>
      </c>
      <c r="K25" s="10">
        <v>3.343</v>
      </c>
      <c r="L25" s="10">
        <v>0.779</v>
      </c>
      <c r="M25" s="10">
        <v>4.137</v>
      </c>
      <c r="N25" s="10">
        <v>0.964</v>
      </c>
      <c r="O25" s="10">
        <v>6.47</v>
      </c>
      <c r="P25" s="10">
        <v>1.506</v>
      </c>
      <c r="Q25" s="10">
        <f t="shared" si="3"/>
        <v>23.399</v>
      </c>
      <c r="R25" s="10">
        <f>+P25+N25+L25+J25+H25+F25+D25-0.001</f>
        <v>5.451999999999998</v>
      </c>
    </row>
    <row r="26" spans="1:19" s="5" customFormat="1" ht="21">
      <c r="A26" s="52">
        <v>13</v>
      </c>
      <c r="B26" s="8" t="s">
        <v>32</v>
      </c>
      <c r="C26" s="26">
        <v>0</v>
      </c>
      <c r="D26" s="25">
        <v>0</v>
      </c>
      <c r="E26" s="25">
        <f>11.662-0.34</f>
        <v>11.322000000000001</v>
      </c>
      <c r="F26" s="25">
        <f>E26/2</f>
        <v>5.6610000000000005</v>
      </c>
      <c r="G26" s="10">
        <f>15+3.67+0.34</f>
        <v>19.01</v>
      </c>
      <c r="H26" s="10">
        <f>G26/2</f>
        <v>9.505</v>
      </c>
      <c r="I26" s="10">
        <v>0.75</v>
      </c>
      <c r="J26" s="10">
        <f>I26/2</f>
        <v>0.375</v>
      </c>
      <c r="K26" s="10">
        <v>15.75</v>
      </c>
      <c r="L26" s="10">
        <v>7.875</v>
      </c>
      <c r="M26" s="10">
        <v>15.75</v>
      </c>
      <c r="N26" s="10">
        <v>7.875</v>
      </c>
      <c r="O26" s="10">
        <v>15.75</v>
      </c>
      <c r="P26" s="10">
        <v>7.875</v>
      </c>
      <c r="Q26" s="10">
        <f>O26+M26+K26+I26+G26+E26+C26</f>
        <v>78.33200000000001</v>
      </c>
      <c r="R26" s="10">
        <f>P26+N26+L26+J26+H26+F26+D26</f>
        <v>39.166000000000004</v>
      </c>
      <c r="S26" s="11"/>
    </row>
    <row r="27" spans="1:21" s="5" customFormat="1" ht="12.75">
      <c r="A27" s="52"/>
      <c r="B27" s="8" t="s">
        <v>5</v>
      </c>
      <c r="C27" s="26">
        <v>31.308</v>
      </c>
      <c r="D27" s="25">
        <f>+C27/2</f>
        <v>15.654</v>
      </c>
      <c r="E27" s="25">
        <f>0.614+1.408</f>
        <v>2.022</v>
      </c>
      <c r="F27" s="25">
        <f>+E27/2</f>
        <v>1.011</v>
      </c>
      <c r="G27" s="10">
        <f>0.75+0.136-0.886</f>
        <v>0</v>
      </c>
      <c r="H27" s="10">
        <f>G27/2</f>
        <v>0</v>
      </c>
      <c r="I27" s="10">
        <f>15-0.522</f>
        <v>14.478</v>
      </c>
      <c r="J27" s="10">
        <f>I27/2</f>
        <v>7.239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f>O27+M27+K27+I27+G27+E27+C27</f>
        <v>47.808</v>
      </c>
      <c r="R27" s="10">
        <f>P27+N27+L27+J27+H27+F27+D27</f>
        <v>23.904</v>
      </c>
      <c r="S27" s="11"/>
      <c r="T27" s="11"/>
      <c r="U27" s="11"/>
    </row>
    <row r="28" spans="1:18" ht="31.5">
      <c r="A28" s="52">
        <v>14</v>
      </c>
      <c r="B28" s="8" t="s">
        <v>33</v>
      </c>
      <c r="C28" s="25">
        <v>0</v>
      </c>
      <c r="D28" s="25">
        <v>0</v>
      </c>
      <c r="E28" s="25">
        <f>4.147-0.201</f>
        <v>3.946</v>
      </c>
      <c r="F28" s="25">
        <f>2.074-0.101</f>
        <v>1.9729999999999999</v>
      </c>
      <c r="G28" s="10">
        <f>4.504-0.017+0.201</f>
        <v>4.687999999999999</v>
      </c>
      <c r="H28" s="10">
        <f>2.252-0.009+0.101</f>
        <v>2.344</v>
      </c>
      <c r="I28" s="10">
        <v>5.434</v>
      </c>
      <c r="J28" s="10">
        <v>2.717</v>
      </c>
      <c r="K28" s="10">
        <v>5.432</v>
      </c>
      <c r="L28" s="10">
        <v>2.716</v>
      </c>
      <c r="M28" s="10">
        <v>5.442</v>
      </c>
      <c r="N28" s="10">
        <v>2.721</v>
      </c>
      <c r="O28" s="10">
        <v>5.418</v>
      </c>
      <c r="P28" s="10">
        <v>2.709</v>
      </c>
      <c r="Q28" s="10">
        <f>SUM(C28+E28+G28+I28+K28+M28+O28)+0.001</f>
        <v>30.361</v>
      </c>
      <c r="R28" s="10">
        <f>SUM(D28+F28+H28+J28+L28+N28+P28)</f>
        <v>15.18</v>
      </c>
    </row>
    <row r="29" spans="1:18" ht="52.5">
      <c r="A29" s="52" t="s">
        <v>8</v>
      </c>
      <c r="B29" s="8" t="s">
        <v>34</v>
      </c>
      <c r="C29" s="25">
        <v>0</v>
      </c>
      <c r="D29" s="25">
        <v>0</v>
      </c>
      <c r="E29" s="25">
        <v>0</v>
      </c>
      <c r="F29" s="25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10">
        <f>+O29+M29+K29+I29+G29+E29+C29</f>
        <v>0</v>
      </c>
      <c r="R29" s="10">
        <f>+P29+N29+L29+J29+H29+F29+D29</f>
        <v>0</v>
      </c>
    </row>
    <row r="30" spans="1:20" ht="52.5">
      <c r="A30" s="52" t="s">
        <v>36</v>
      </c>
      <c r="B30" s="8" t="s">
        <v>35</v>
      </c>
      <c r="C30" s="25">
        <f>SUM(C31:C32)</f>
        <v>0</v>
      </c>
      <c r="D30" s="25">
        <f aca="true" t="shared" si="4" ref="D30:P30">SUM(D31:D32)</f>
        <v>0</v>
      </c>
      <c r="E30" s="25">
        <f t="shared" si="4"/>
        <v>2.908</v>
      </c>
      <c r="F30" s="25">
        <f t="shared" si="4"/>
        <v>0.46527999999999997</v>
      </c>
      <c r="G30" s="10">
        <f t="shared" si="4"/>
        <v>5.430513882623139</v>
      </c>
      <c r="H30" s="10">
        <f t="shared" si="4"/>
        <v>1.121296190952713</v>
      </c>
      <c r="I30" s="10">
        <f t="shared" si="4"/>
        <v>4.89160759545585</v>
      </c>
      <c r="J30" s="10">
        <f t="shared" si="4"/>
        <v>1.037840960013124</v>
      </c>
      <c r="K30" s="10">
        <f t="shared" si="4"/>
        <v>5.3484929664110235</v>
      </c>
      <c r="L30" s="10">
        <f t="shared" si="4"/>
        <v>1.1347772621908705</v>
      </c>
      <c r="M30" s="10">
        <f t="shared" si="4"/>
        <v>6.463460935897961</v>
      </c>
      <c r="N30" s="10">
        <f t="shared" si="4"/>
        <v>1.3723374124595005</v>
      </c>
      <c r="O30" s="10">
        <f t="shared" si="4"/>
        <v>9.025691752450477</v>
      </c>
      <c r="P30" s="10">
        <f t="shared" si="4"/>
        <v>2.0965467675019482</v>
      </c>
      <c r="Q30" s="10">
        <f>+O30+M30+K30+I30+G30+E30+C30</f>
        <v>34.067767132838455</v>
      </c>
      <c r="R30" s="10">
        <f>+P30+N30+L30+J30+H30+F30+D30</f>
        <v>7.228078593118156</v>
      </c>
      <c r="T30" s="14"/>
    </row>
    <row r="31" spans="1:18" s="5" customFormat="1" ht="42">
      <c r="A31" s="52" t="s">
        <v>9</v>
      </c>
      <c r="B31" s="8" t="s">
        <v>38</v>
      </c>
      <c r="C31" s="25"/>
      <c r="D31" s="25"/>
      <c r="E31" s="25">
        <v>0</v>
      </c>
      <c r="F31" s="25">
        <f>+E31*0.296</f>
        <v>0</v>
      </c>
      <c r="G31" s="10">
        <f>13.068*3.463/24.383+1.047-1.047</f>
        <v>1.8559850715662554</v>
      </c>
      <c r="H31" s="10">
        <f>+G31*0.296</f>
        <v>0.5493715811836115</v>
      </c>
      <c r="I31" s="10">
        <f>13.068*3.501/24.383</f>
        <v>1.876351064266087</v>
      </c>
      <c r="J31" s="10">
        <f>+I31*0.296</f>
        <v>0.5553999150227618</v>
      </c>
      <c r="K31" s="10">
        <f>13.068*3.828/24.383</f>
        <v>2.051605790919903</v>
      </c>
      <c r="L31" s="10">
        <f>+K31*0.296</f>
        <v>0.6072753141122912</v>
      </c>
      <c r="M31" s="10">
        <f>13.068*4.626/24.383</f>
        <v>2.479291637616372</v>
      </c>
      <c r="N31" s="10">
        <f>+M31*0.296</f>
        <v>0.7338703247344461</v>
      </c>
      <c r="O31" s="10">
        <f>13.068*4.901/24.383+1.047+1.131</f>
        <v>4.804677111101998</v>
      </c>
      <c r="P31" s="10">
        <f>+O31*0.296</f>
        <v>1.4221844248861912</v>
      </c>
      <c r="Q31" s="10">
        <f>+O31+M31+K31+I31+G31+E31+C31</f>
        <v>13.067910675470616</v>
      </c>
      <c r="R31" s="10">
        <f>+P31+N31+L31+J31+H31+F31+D31-0.001</f>
        <v>3.8671015599393015</v>
      </c>
    </row>
    <row r="32" spans="1:18" s="5" customFormat="1" ht="21">
      <c r="A32" s="52" t="s">
        <v>10</v>
      </c>
      <c r="B32" s="8" t="s">
        <v>37</v>
      </c>
      <c r="C32" s="25"/>
      <c r="D32" s="25"/>
      <c r="E32" s="25">
        <v>2.908</v>
      </c>
      <c r="F32" s="25">
        <f>+E32*0.16</f>
        <v>0.46527999999999997</v>
      </c>
      <c r="G32" s="10">
        <f>21*3.463/24.383+0.592</f>
        <v>3.5745288110568842</v>
      </c>
      <c r="H32" s="10">
        <f>+G32*0.16</f>
        <v>0.5719246097691015</v>
      </c>
      <c r="I32" s="10">
        <f>21*3.501/24.383</f>
        <v>3.0152565311897637</v>
      </c>
      <c r="J32" s="10">
        <f>+I32*0.16</f>
        <v>0.4824410449903622</v>
      </c>
      <c r="K32" s="10">
        <f>21*3.828/24.383</f>
        <v>3.2968871754911206</v>
      </c>
      <c r="L32" s="10">
        <f>+K32*0.16</f>
        <v>0.5275019480785793</v>
      </c>
      <c r="M32" s="10">
        <f>21*4.626/24.383</f>
        <v>3.9841692982815897</v>
      </c>
      <c r="N32" s="10">
        <f>+M32*0.16+0.001</f>
        <v>0.6384670877250543</v>
      </c>
      <c r="O32" s="10">
        <f>21*4.901/24.383</f>
        <v>4.22101464134848</v>
      </c>
      <c r="P32" s="10">
        <f>+O32*0.16-0.001</f>
        <v>0.6743623426157569</v>
      </c>
      <c r="Q32" s="10">
        <f>+O32+M32+K32+I32+G32+E32+C32</f>
        <v>20.999856457367837</v>
      </c>
      <c r="R32" s="10">
        <f>+P32+N32+L32+J32+H32+F32+D32</f>
        <v>3.359977033178854</v>
      </c>
    </row>
    <row r="33" spans="1:18" s="4" customFormat="1" ht="12.75">
      <c r="A33" s="9"/>
      <c r="B33" s="15" t="s">
        <v>4</v>
      </c>
      <c r="C33" s="25">
        <f>SUM(C30+C29+C28+C27+C26+C25+C24+C23+C22+C21+C20+C19+C18+C15+C12+C11+C10+C9+C8)</f>
        <v>31.308</v>
      </c>
      <c r="D33" s="25">
        <f>SUM(D30+D29+D28+D27+D26+D25+D24+D23+D22+D21+D20+D19+D18+D15+D12+D11+D10+D9+D8)</f>
        <v>15.654</v>
      </c>
      <c r="E33" s="25">
        <f>SUM(E30+E29+E28+E27+E26+E25+E24+E23+E22+E21+E20+E19+E18+E15+E12+E11+E10+E9+E8)</f>
        <v>43.736</v>
      </c>
      <c r="F33" s="25">
        <f>SUM(F30+F29+F28+F27+F26+F25+F24+F23+F22+F21+F20+F19+F18+F15+F12+F11+F10+F9+F8)-0.002</f>
        <v>13.295530000000003</v>
      </c>
      <c r="G33" s="13">
        <f>SUM(G30+G29+G28+G27+G26+G25+G24+G23+G22+G21+G20+G19+G18+G15+G12+G11+G10+G9+G8)</f>
        <v>60.12151388262314</v>
      </c>
      <c r="H33" s="13">
        <f>SUM(H30+H29+H28+H27+H26+H25+H24+H23+H22+H21+H20+H19+H18+H15+H12+H11+H10+H9+H8)-0.002</f>
        <v>19.24177952428605</v>
      </c>
      <c r="I33" s="13">
        <f>SUM(I30+I29+I28+I27+I26+I25+I24+I23+I22+I21+I20+I19+I18+I15+I12+I11+I10+I9+I8)-0.002</f>
        <v>53.56960759545585</v>
      </c>
      <c r="J33" s="13">
        <f>SUM(J30+J29+J28+J27+J26+J25+J24+J23+J22+J21+J20+J19+J18+J15+J12+J11+J10+J9+J8)</f>
        <v>16.679424293346457</v>
      </c>
      <c r="K33" s="13">
        <f>SUM(K30+K29+K28+K27+K26+K25+K24+K23+K22+K21+K20+K19+K18+K15+K12+K11+K10+K9+K8)</f>
        <v>56.44349296641103</v>
      </c>
      <c r="L33" s="13">
        <f>SUM(L30+L29+L28+L27+L26+L25+L24+L23+L22+L21+L20+L19+L18+L15+L12+L11+L10+L9+L8)-0.001</f>
        <v>17.319860595524204</v>
      </c>
      <c r="M33" s="13">
        <f>SUM(M30+M29+M28+M27+M26+M25+M24+M23+M22+M21+M20+M19+M18+M15+M12+M11+M10+M9+M8)-0.001</f>
        <v>59.11946093589797</v>
      </c>
      <c r="N33" s="13">
        <f>SUM(N30+N29+N28+N27+N26+N25+N24+N23+N22+N21+N20+N19+N18+N15+N12+N11+N10+N9+N8)-0.002</f>
        <v>17.842570745792838</v>
      </c>
      <c r="O33" s="13">
        <f>SUM(O30+O29+O28+O27+O26+O25+O24+O23+O22+O21+O20+O19+O18+O15+O12+O11+O10+O9+O8)</f>
        <v>60.53969175245047</v>
      </c>
      <c r="P33" s="13">
        <f>SUM(P30+P29+P28+P27+P26+P25+P24+P23+P22+P21+P20+P19+P18+P15+P12+P11+P10+P9+P8)</f>
        <v>18.63663010083528</v>
      </c>
      <c r="Q33" s="13">
        <f>SUM(C33+E33+G33+I33+K33+M33+O33)</f>
        <v>364.8377671328385</v>
      </c>
      <c r="R33" s="13">
        <f>SUM(D33+F33+H33+J33+L33+N33+P33)</f>
        <v>118.66979525978483</v>
      </c>
    </row>
    <row r="34" spans="2:18" ht="12.75">
      <c r="B34" s="3"/>
      <c r="C34" s="23"/>
      <c r="D34" s="23"/>
      <c r="E34" s="20"/>
      <c r="F34" s="27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</row>
    <row r="35" ht="12.75">
      <c r="A35" s="32" t="s">
        <v>45</v>
      </c>
    </row>
    <row r="36" spans="1:2" ht="12.75">
      <c r="A36" s="32"/>
      <c r="B36" s="7"/>
    </row>
  </sheetData>
  <mergeCells count="16">
    <mergeCell ref="C5:D5"/>
    <mergeCell ref="E5:F5"/>
    <mergeCell ref="G5:H5"/>
    <mergeCell ref="I5:J5"/>
    <mergeCell ref="K5:L5"/>
    <mergeCell ref="M5:N5"/>
    <mergeCell ref="O5:P5"/>
    <mergeCell ref="Q5:R5"/>
    <mergeCell ref="C6:D6"/>
    <mergeCell ref="E6:F6"/>
    <mergeCell ref="G6:H6"/>
    <mergeCell ref="I6:J6"/>
    <mergeCell ref="K6:L6"/>
    <mergeCell ref="M6:N6"/>
    <mergeCell ref="O6:P6"/>
    <mergeCell ref="Q6:R6"/>
  </mergeCells>
  <printOptions horizontalCentered="1" verticalCentered="1"/>
  <pageMargins left="0.15748031496062992" right="0.1968503937007874" top="0.3937007874015748" bottom="0.3937007874015748" header="0.2362204724409449" footer="0.2362204724409449"/>
  <pageSetup fitToHeight="1" fitToWidth="1" horizontalDpi="600" verticalDpi="600" orientation="landscape" paperSize="9" scale="59" r:id="rId1"/>
  <headerFooter alignWithMargins="0">
    <oddHeader>&amp;CPSR 2000-2006</oddHeader>
    <oddFooter>&amp;C&amp;"Arial Narrow,Normale"&amp;10&amp;F&amp;R&amp;A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>
    <pageSetUpPr fitToPage="1"/>
  </sheetPr>
  <dimension ref="A1:U39"/>
  <sheetViews>
    <sheetView showGridLines="0" showZeros="0" workbookViewId="0" topLeftCell="A5">
      <pane ySplit="3" topLeftCell="BM29" activePane="bottomLeft" state="frozen"/>
      <selection pane="topLeft" activeCell="J45" sqref="J45"/>
      <selection pane="bottomLeft" activeCell="F33" sqref="F33"/>
    </sheetView>
  </sheetViews>
  <sheetFormatPr defaultColWidth="9.140625" defaultRowHeight="12"/>
  <cols>
    <col min="1" max="1" width="6.8515625" style="5" customWidth="1"/>
    <col min="2" max="2" width="30.00390625" style="5" customWidth="1"/>
    <col min="3" max="3" width="10.28125" style="29" customWidth="1"/>
    <col min="4" max="4" width="11.28125" style="29" customWidth="1"/>
    <col min="5" max="5" width="10.00390625" style="5" customWidth="1"/>
    <col min="6" max="6" width="11.00390625" style="19" customWidth="1"/>
    <col min="7" max="18" width="10.00390625" style="5" customWidth="1"/>
    <col min="19" max="16384" width="9.140625" style="5" customWidth="1"/>
  </cols>
  <sheetData>
    <row r="1" ht="12.75">
      <c r="A1" s="4" t="s">
        <v>46</v>
      </c>
    </row>
    <row r="2" ht="12.75">
      <c r="A2" s="4"/>
    </row>
    <row r="3" ht="12.75">
      <c r="A3" s="58" t="s">
        <v>48</v>
      </c>
    </row>
    <row r="5" spans="1:18" s="34" customFormat="1" ht="12.75">
      <c r="A5" s="49"/>
      <c r="B5" s="50"/>
      <c r="C5" s="68" t="s">
        <v>6</v>
      </c>
      <c r="D5" s="68"/>
      <c r="E5" s="69" t="s">
        <v>6</v>
      </c>
      <c r="F5" s="68"/>
      <c r="G5" s="65" t="s">
        <v>6</v>
      </c>
      <c r="H5" s="66"/>
      <c r="I5" s="65" t="s">
        <v>6</v>
      </c>
      <c r="J5" s="66"/>
      <c r="K5" s="65" t="s">
        <v>6</v>
      </c>
      <c r="L5" s="66"/>
      <c r="M5" s="65" t="s">
        <v>6</v>
      </c>
      <c r="N5" s="66"/>
      <c r="O5" s="65" t="s">
        <v>6</v>
      </c>
      <c r="P5" s="67"/>
      <c r="Q5" s="66" t="s">
        <v>1</v>
      </c>
      <c r="R5" s="67"/>
    </row>
    <row r="6" spans="1:18" s="17" customFormat="1" ht="12.75">
      <c r="A6" s="45"/>
      <c r="B6" s="46" t="s">
        <v>0</v>
      </c>
      <c r="C6" s="62">
        <v>2000</v>
      </c>
      <c r="D6" s="62"/>
      <c r="E6" s="63">
        <v>2001</v>
      </c>
      <c r="F6" s="64"/>
      <c r="G6" s="59">
        <v>2002</v>
      </c>
      <c r="H6" s="59"/>
      <c r="I6" s="60">
        <v>2003</v>
      </c>
      <c r="J6" s="61"/>
      <c r="K6" s="59">
        <v>2004</v>
      </c>
      <c r="L6" s="59"/>
      <c r="M6" s="60">
        <v>2005</v>
      </c>
      <c r="N6" s="61"/>
      <c r="O6" s="60">
        <v>2006</v>
      </c>
      <c r="P6" s="61"/>
      <c r="Q6" s="70"/>
      <c r="R6" s="71"/>
    </row>
    <row r="7" spans="1:18" ht="38.25">
      <c r="A7" s="47"/>
      <c r="B7" s="48"/>
      <c r="C7" s="28" t="s">
        <v>41</v>
      </c>
      <c r="D7" s="24" t="s">
        <v>3</v>
      </c>
      <c r="E7" s="28" t="s">
        <v>41</v>
      </c>
      <c r="F7" s="24" t="s">
        <v>3</v>
      </c>
      <c r="G7" s="55" t="s">
        <v>41</v>
      </c>
      <c r="H7" s="51" t="s">
        <v>3</v>
      </c>
      <c r="I7" s="55" t="s">
        <v>41</v>
      </c>
      <c r="J7" s="51" t="s">
        <v>3</v>
      </c>
      <c r="K7" s="55" t="s">
        <v>41</v>
      </c>
      <c r="L7" s="51" t="s">
        <v>3</v>
      </c>
      <c r="M7" s="55" t="s">
        <v>41</v>
      </c>
      <c r="N7" s="51" t="s">
        <v>3</v>
      </c>
      <c r="O7" s="55" t="s">
        <v>41</v>
      </c>
      <c r="P7" s="51" t="s">
        <v>3</v>
      </c>
      <c r="Q7" s="55" t="s">
        <v>41</v>
      </c>
      <c r="R7" s="51" t="s">
        <v>3</v>
      </c>
    </row>
    <row r="8" spans="1:19" ht="21">
      <c r="A8" s="52">
        <v>1</v>
      </c>
      <c r="B8" s="8" t="s">
        <v>14</v>
      </c>
      <c r="C8" s="25">
        <f>0-0</f>
        <v>0</v>
      </c>
      <c r="D8" s="25">
        <v>0</v>
      </c>
      <c r="E8" s="25">
        <f>2.061-0.027</f>
        <v>2.034</v>
      </c>
      <c r="F8" s="25">
        <f>0.687-0.009</f>
        <v>0.678</v>
      </c>
      <c r="G8" s="10">
        <f>6.83-1-3.207+0.222+0.027</f>
        <v>2.8720000000000003</v>
      </c>
      <c r="H8" s="10">
        <f>0.949+0.009</f>
        <v>0.958</v>
      </c>
      <c r="I8" s="10">
        <f>7.235-1-3.429</f>
        <v>2.8060000000000005</v>
      </c>
      <c r="J8" s="10">
        <v>0.935</v>
      </c>
      <c r="K8" s="10">
        <f>9.905-1-4.898</f>
        <v>4.007</v>
      </c>
      <c r="L8" s="10">
        <v>1.336</v>
      </c>
      <c r="M8" s="10">
        <f>9.859-1-4.872</f>
        <v>3.987</v>
      </c>
      <c r="N8" s="10">
        <v>1.329</v>
      </c>
      <c r="O8" s="10">
        <f>10.098-1-5.004</f>
        <v>4.094000000000001</v>
      </c>
      <c r="P8" s="10">
        <v>1.365</v>
      </c>
      <c r="Q8" s="10">
        <f>+O8+M8+K8+I8+G8+E8+C8</f>
        <v>19.8</v>
      </c>
      <c r="R8" s="10">
        <f>+P8+N8+L8+J8+H8+F8+D8-0.001</f>
        <v>6.6</v>
      </c>
      <c r="S8" s="11"/>
    </row>
    <row r="9" spans="1:18" ht="21">
      <c r="A9" s="52">
        <v>2</v>
      </c>
      <c r="B9" s="8" t="s">
        <v>15</v>
      </c>
      <c r="C9" s="25">
        <v>0</v>
      </c>
      <c r="D9" s="25">
        <v>0</v>
      </c>
      <c r="E9" s="25">
        <v>0.575</v>
      </c>
      <c r="F9" s="25">
        <v>0.287</v>
      </c>
      <c r="G9" s="10">
        <v>1.731</v>
      </c>
      <c r="H9" s="10">
        <v>0.867</v>
      </c>
      <c r="I9" s="10">
        <v>0.886</v>
      </c>
      <c r="J9" s="10">
        <v>0.443</v>
      </c>
      <c r="K9" s="10">
        <v>0.886</v>
      </c>
      <c r="L9" s="10">
        <v>0.443</v>
      </c>
      <c r="M9" s="10">
        <v>0.886</v>
      </c>
      <c r="N9" s="10">
        <v>0.443</v>
      </c>
      <c r="O9" s="10">
        <v>0.888</v>
      </c>
      <c r="P9" s="10">
        <v>0.445</v>
      </c>
      <c r="Q9" s="10">
        <f>+O9+M9+K9+I9+G9+E9+C9</f>
        <v>5.852</v>
      </c>
      <c r="R9" s="10">
        <f>+P9+N9+L9+J9+H9+F9+D9-0.002</f>
        <v>2.926</v>
      </c>
    </row>
    <row r="10" spans="1:18" ht="12.75">
      <c r="A10" s="52">
        <v>3</v>
      </c>
      <c r="B10" s="8" t="s">
        <v>16</v>
      </c>
      <c r="C10" s="25">
        <v>0</v>
      </c>
      <c r="D10" s="25">
        <v>0</v>
      </c>
      <c r="E10" s="25">
        <v>0</v>
      </c>
      <c r="F10" s="25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f>+O10+M10+K10+I10+G10+E10+C10</f>
        <v>0</v>
      </c>
      <c r="R10" s="10">
        <f>+P10+N10+L10+J10+H10+F10+D10</f>
        <v>0</v>
      </c>
    </row>
    <row r="11" spans="1:18" ht="21">
      <c r="A11" s="52">
        <v>4</v>
      </c>
      <c r="B11" s="8" t="s">
        <v>17</v>
      </c>
      <c r="C11" s="25">
        <v>0</v>
      </c>
      <c r="D11" s="25">
        <v>0</v>
      </c>
      <c r="E11" s="25">
        <v>0</v>
      </c>
      <c r="F11" s="25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f>+O11+M11+K11+I11+G11+E11+C11</f>
        <v>0</v>
      </c>
      <c r="R11" s="10">
        <f>+P11+N11+L11+J11+H11+F11+D11</f>
        <v>0</v>
      </c>
    </row>
    <row r="12" spans="1:19" ht="42">
      <c r="A12" s="52" t="s">
        <v>21</v>
      </c>
      <c r="B12" s="8" t="s">
        <v>39</v>
      </c>
      <c r="C12" s="25">
        <v>0</v>
      </c>
      <c r="D12" s="25">
        <v>0</v>
      </c>
      <c r="E12" s="25">
        <f>SUM(E13:E14)</f>
        <v>0.773</v>
      </c>
      <c r="F12" s="25">
        <f aca="true" t="shared" si="0" ref="F12:P12">SUM(F13:F14)</f>
        <v>0.258</v>
      </c>
      <c r="G12" s="10">
        <f t="shared" si="0"/>
        <v>1.629</v>
      </c>
      <c r="H12" s="10">
        <f t="shared" si="0"/>
        <v>0.517</v>
      </c>
      <c r="I12" s="10">
        <f t="shared" si="0"/>
        <v>1.7329999999999999</v>
      </c>
      <c r="J12" s="10">
        <f t="shared" si="0"/>
        <v>0.5630000000000001</v>
      </c>
      <c r="K12" s="10">
        <f t="shared" si="0"/>
        <v>1.7329999999999999</v>
      </c>
      <c r="L12" s="10">
        <f t="shared" si="0"/>
        <v>0.5630000000000001</v>
      </c>
      <c r="M12" s="10">
        <f t="shared" si="0"/>
        <v>1.642</v>
      </c>
      <c r="N12" s="10">
        <f t="shared" si="0"/>
        <v>0.532</v>
      </c>
      <c r="O12" s="10">
        <f t="shared" si="0"/>
        <v>1.742</v>
      </c>
      <c r="P12" s="10">
        <f t="shared" si="0"/>
        <v>0.561</v>
      </c>
      <c r="Q12" s="10">
        <f aca="true" t="shared" si="1" ref="Q12:R16">SUM(O12+M12+K12+I12+G12+E12)</f>
        <v>9.251999999999999</v>
      </c>
      <c r="R12" s="10">
        <f t="shared" si="1"/>
        <v>2.994</v>
      </c>
      <c r="S12" s="11"/>
    </row>
    <row r="13" spans="1:18" ht="21">
      <c r="A13" s="52" t="s">
        <v>22</v>
      </c>
      <c r="B13" s="8" t="s">
        <v>24</v>
      </c>
      <c r="C13" s="25"/>
      <c r="D13" s="25"/>
      <c r="E13" s="25">
        <v>0.773</v>
      </c>
      <c r="F13" s="25">
        <v>0.258</v>
      </c>
      <c r="G13" s="10">
        <v>0.397</v>
      </c>
      <c r="H13" s="10">
        <v>0.132</v>
      </c>
      <c r="I13" s="10">
        <v>1.013</v>
      </c>
      <c r="J13" s="10">
        <v>0.338</v>
      </c>
      <c r="K13" s="10">
        <v>1.013</v>
      </c>
      <c r="L13" s="10">
        <v>0.338</v>
      </c>
      <c r="M13" s="10">
        <v>0.922</v>
      </c>
      <c r="N13" s="10">
        <v>0.307</v>
      </c>
      <c r="O13" s="10">
        <v>0.814</v>
      </c>
      <c r="P13" s="10">
        <v>0.271</v>
      </c>
      <c r="Q13" s="10">
        <f t="shared" si="1"/>
        <v>4.9319999999999995</v>
      </c>
      <c r="R13" s="10">
        <f t="shared" si="1"/>
        <v>1.6440000000000001</v>
      </c>
    </row>
    <row r="14" spans="1:19" ht="42">
      <c r="A14" s="52" t="s">
        <v>23</v>
      </c>
      <c r="B14" s="8" t="s">
        <v>40</v>
      </c>
      <c r="C14" s="25"/>
      <c r="D14" s="25"/>
      <c r="E14" s="25">
        <v>0</v>
      </c>
      <c r="F14" s="25">
        <v>0</v>
      </c>
      <c r="G14" s="10">
        <f>0.9-0.18+0.512</f>
        <v>1.232</v>
      </c>
      <c r="H14" s="10">
        <f>0.225+0.16</f>
        <v>0.385</v>
      </c>
      <c r="I14" s="10">
        <f>0.9-0.18</f>
        <v>0.72</v>
      </c>
      <c r="J14" s="10">
        <v>0.225</v>
      </c>
      <c r="K14" s="10">
        <f>0.9-0.18</f>
        <v>0.72</v>
      </c>
      <c r="L14" s="10">
        <v>0.225</v>
      </c>
      <c r="M14" s="10">
        <f>0.9-0.18</f>
        <v>0.72</v>
      </c>
      <c r="N14" s="10">
        <v>0.225</v>
      </c>
      <c r="O14" s="10">
        <f>0.9-0.18+0.208</f>
        <v>0.9279999999999999</v>
      </c>
      <c r="P14" s="10">
        <f>0.225+0.065</f>
        <v>0.29000000000000004</v>
      </c>
      <c r="Q14" s="10">
        <f t="shared" si="1"/>
        <v>4.32</v>
      </c>
      <c r="R14" s="10">
        <f t="shared" si="1"/>
        <v>1.35</v>
      </c>
      <c r="S14" s="11"/>
    </row>
    <row r="15" spans="1:19" ht="52.5">
      <c r="A15" s="52" t="s">
        <v>11</v>
      </c>
      <c r="B15" s="8" t="s">
        <v>18</v>
      </c>
      <c r="C15" s="25">
        <v>0</v>
      </c>
      <c r="D15" s="25">
        <v>0</v>
      </c>
      <c r="E15" s="25">
        <f>SUM(E16:E17)-0.001</f>
        <v>0.067</v>
      </c>
      <c r="F15" s="25">
        <f>SUM(F16:F17)</f>
        <v>0.023</v>
      </c>
      <c r="G15" s="10">
        <f>SUM(G16:G17)-0.002</f>
        <v>0.796</v>
      </c>
      <c r="H15" s="10">
        <f>SUM(H16:H17)-0.001</f>
        <v>0.28200000000000003</v>
      </c>
      <c r="I15" s="10">
        <f>SUM(I16:I17)-0.001</f>
        <v>0.43199999999999994</v>
      </c>
      <c r="J15" s="10">
        <f>SUM(J16:J17)-0.001</f>
        <v>0.153</v>
      </c>
      <c r="K15" s="10">
        <f>SUM(K16:K17)-0.001</f>
        <v>0.43199999999999994</v>
      </c>
      <c r="L15" s="10">
        <f>SUM(L16:L17)-0.001</f>
        <v>0.153</v>
      </c>
      <c r="M15" s="10">
        <f>SUM(M16:M17)</f>
        <v>0.43199999999999994</v>
      </c>
      <c r="N15" s="10">
        <f>SUM(N16:N17)-0.001</f>
        <v>0.153</v>
      </c>
      <c r="O15" s="10">
        <f>SUM(O16:O17)</f>
        <v>0.43999999999999995</v>
      </c>
      <c r="P15" s="10">
        <f>SUM(P16:P17)-0.001</f>
        <v>0.155</v>
      </c>
      <c r="Q15" s="10">
        <f>SUM(O15+M15+K15+I15+G15+E15)+0.001</f>
        <v>2.6</v>
      </c>
      <c r="R15" s="10">
        <f>SUM(P15+N15+L15+J15+H15+F15)+0.001</f>
        <v>0.92</v>
      </c>
      <c r="S15" s="11"/>
    </row>
    <row r="16" spans="1:18" ht="52.5">
      <c r="A16" s="52" t="s">
        <v>12</v>
      </c>
      <c r="B16" s="8" t="s">
        <v>19</v>
      </c>
      <c r="C16" s="25"/>
      <c r="D16" s="25"/>
      <c r="E16" s="25">
        <v>0.032</v>
      </c>
      <c r="F16" s="25">
        <v>0.012</v>
      </c>
      <c r="G16" s="10">
        <f>0.717-0.431+0.254</f>
        <v>0.54</v>
      </c>
      <c r="H16" s="10">
        <v>0.203</v>
      </c>
      <c r="I16" s="10">
        <f>0.717-0.431</f>
        <v>0.286</v>
      </c>
      <c r="J16" s="10">
        <v>0.108</v>
      </c>
      <c r="K16" s="10">
        <f>0.717-0.431</f>
        <v>0.286</v>
      </c>
      <c r="L16" s="10">
        <v>0.108</v>
      </c>
      <c r="M16" s="10">
        <f>0.717-0.432</f>
        <v>0.285</v>
      </c>
      <c r="N16" s="10">
        <v>0.108</v>
      </c>
      <c r="O16" s="10">
        <f>0.717-0.424</f>
        <v>0.293</v>
      </c>
      <c r="P16" s="10">
        <v>0.11</v>
      </c>
      <c r="Q16" s="10">
        <f t="shared" si="1"/>
        <v>1.722</v>
      </c>
      <c r="R16" s="10">
        <f>SUM(P16+N16+L16+J16+H16+F16)-0.003</f>
        <v>0.646</v>
      </c>
    </row>
    <row r="17" spans="1:18" ht="63">
      <c r="A17" s="52" t="s">
        <v>13</v>
      </c>
      <c r="B17" s="8" t="s">
        <v>20</v>
      </c>
      <c r="C17" s="25"/>
      <c r="D17" s="25"/>
      <c r="E17" s="25">
        <v>0.036</v>
      </c>
      <c r="F17" s="25">
        <v>0.011</v>
      </c>
      <c r="G17" s="10">
        <f>0.046+0.071+0.03+0.111</f>
        <v>0.258</v>
      </c>
      <c r="H17" s="10">
        <v>0.08</v>
      </c>
      <c r="I17" s="10">
        <f>0.046+0.071+0.03</f>
        <v>0.147</v>
      </c>
      <c r="J17" s="10">
        <v>0.046</v>
      </c>
      <c r="K17" s="10">
        <f>0.046+0.071+0.03</f>
        <v>0.147</v>
      </c>
      <c r="L17" s="10">
        <v>0.046</v>
      </c>
      <c r="M17" s="10">
        <f>0.046+0.071+0.03</f>
        <v>0.147</v>
      </c>
      <c r="N17" s="10">
        <v>0.046</v>
      </c>
      <c r="O17" s="10">
        <f>0.046+0.071+0.03</f>
        <v>0.147</v>
      </c>
      <c r="P17" s="10">
        <v>0.046</v>
      </c>
      <c r="Q17" s="10">
        <f>SUM(O17+M17+K17+I17+G17+E17)-0.001</f>
        <v>0.881</v>
      </c>
      <c r="R17" s="10">
        <f>SUM(P17+N17+L17+J17+H17+F17)</f>
        <v>0.275</v>
      </c>
    </row>
    <row r="18" spans="1:18" ht="31.5">
      <c r="A18" s="52"/>
      <c r="B18" s="8" t="s">
        <v>7</v>
      </c>
      <c r="C18" s="25">
        <v>0</v>
      </c>
      <c r="D18" s="25">
        <f>+C18/2</f>
        <v>0</v>
      </c>
      <c r="E18" s="25">
        <f>0.642-0.642</f>
        <v>0</v>
      </c>
      <c r="F18" s="25">
        <f>+E18/2</f>
        <v>0</v>
      </c>
      <c r="G18" s="10">
        <f>0.358+0.642</f>
        <v>1</v>
      </c>
      <c r="H18" s="10">
        <f>0.179+0.321</f>
        <v>0.5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f>+O18+M18+K18+I18+G18+E18+C18</f>
        <v>1</v>
      </c>
      <c r="R18" s="10">
        <f>+P18+N18+L18+J18+H18+F18+D18</f>
        <v>0.5</v>
      </c>
    </row>
    <row r="19" spans="1:18" ht="42">
      <c r="A19" s="52">
        <v>6</v>
      </c>
      <c r="B19" s="8" t="s">
        <v>25</v>
      </c>
      <c r="C19" s="25">
        <v>0</v>
      </c>
      <c r="D19" s="25">
        <v>0</v>
      </c>
      <c r="E19" s="25">
        <v>5.566</v>
      </c>
      <c r="F19" s="25">
        <v>2.087</v>
      </c>
      <c r="G19" s="10">
        <v>4.711</v>
      </c>
      <c r="H19" s="10">
        <v>1.769</v>
      </c>
      <c r="I19" s="10">
        <v>4.352</v>
      </c>
      <c r="J19" s="10">
        <v>1.632</v>
      </c>
      <c r="K19" s="10">
        <v>4.04</v>
      </c>
      <c r="L19" s="10">
        <v>1.515</v>
      </c>
      <c r="M19" s="10">
        <v>4.44</v>
      </c>
      <c r="N19" s="10">
        <v>1.665</v>
      </c>
      <c r="O19" s="10">
        <v>2.824</v>
      </c>
      <c r="P19" s="10">
        <v>1.059</v>
      </c>
      <c r="Q19" s="10">
        <f aca="true" t="shared" si="2" ref="Q19:Q25">+O19+M19+K19+I19+G19+E19+C19</f>
        <v>25.933</v>
      </c>
      <c r="R19" s="10">
        <f>+P19+N19+L19+J19+H19+F19+D19-0.002</f>
        <v>9.725</v>
      </c>
    </row>
    <row r="20" spans="1:18" ht="31.5">
      <c r="A20" s="52">
        <v>7</v>
      </c>
      <c r="B20" s="8" t="s">
        <v>26</v>
      </c>
      <c r="C20" s="25">
        <v>0</v>
      </c>
      <c r="D20" s="25">
        <v>0</v>
      </c>
      <c r="E20" s="25">
        <v>0</v>
      </c>
      <c r="F20" s="25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f t="shared" si="2"/>
        <v>0</v>
      </c>
      <c r="R20" s="10">
        <f>+P20+N20+L20+J20+H20+F20+D20</f>
        <v>0</v>
      </c>
    </row>
    <row r="21" spans="1:18" ht="12.75">
      <c r="A21" s="52">
        <v>8</v>
      </c>
      <c r="B21" s="8" t="s">
        <v>27</v>
      </c>
      <c r="C21" s="25">
        <v>0</v>
      </c>
      <c r="D21" s="25">
        <v>0</v>
      </c>
      <c r="E21" s="25">
        <v>0.075</v>
      </c>
      <c r="F21" s="25">
        <v>0.038</v>
      </c>
      <c r="G21" s="10">
        <v>0.135</v>
      </c>
      <c r="H21" s="10">
        <v>0.068</v>
      </c>
      <c r="I21" s="10">
        <v>0.135</v>
      </c>
      <c r="J21" s="10">
        <v>0.068</v>
      </c>
      <c r="K21" s="10">
        <v>0.135</v>
      </c>
      <c r="L21" s="10">
        <v>0.068</v>
      </c>
      <c r="M21" s="10">
        <v>0.135</v>
      </c>
      <c r="N21" s="10">
        <v>0.068</v>
      </c>
      <c r="O21" s="10">
        <v>0.135</v>
      </c>
      <c r="P21" s="10">
        <v>0.068</v>
      </c>
      <c r="Q21" s="10">
        <f t="shared" si="2"/>
        <v>0.75</v>
      </c>
      <c r="R21" s="10">
        <f>+P21+N21+L21+J21+H21+F21+D21-0.003</f>
        <v>0.375</v>
      </c>
    </row>
    <row r="22" spans="1:18" ht="52.5">
      <c r="A22" s="52">
        <v>9</v>
      </c>
      <c r="B22" s="8" t="s">
        <v>28</v>
      </c>
      <c r="C22" s="25">
        <v>0</v>
      </c>
      <c r="D22" s="25">
        <v>0</v>
      </c>
      <c r="E22" s="25">
        <v>0</v>
      </c>
      <c r="F22" s="25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0.084</v>
      </c>
      <c r="N22" s="10">
        <v>0.031</v>
      </c>
      <c r="O22" s="10">
        <v>0.181</v>
      </c>
      <c r="P22" s="10">
        <v>0.067</v>
      </c>
      <c r="Q22" s="10">
        <f t="shared" si="2"/>
        <v>0.265</v>
      </c>
      <c r="R22" s="10">
        <f>+P22+N22+L22+J22+H22+F22+D22+0.002</f>
        <v>0.1</v>
      </c>
    </row>
    <row r="23" spans="1:18" ht="21">
      <c r="A23" s="52">
        <v>10</v>
      </c>
      <c r="B23" s="8" t="s">
        <v>29</v>
      </c>
      <c r="C23" s="25">
        <v>0</v>
      </c>
      <c r="D23" s="25">
        <v>0</v>
      </c>
      <c r="E23" s="25">
        <v>0</v>
      </c>
      <c r="F23" s="25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f t="shared" si="2"/>
        <v>0</v>
      </c>
      <c r="R23" s="10">
        <f>+P23+N23+L23+J23+H23+F23+D23</f>
        <v>0</v>
      </c>
    </row>
    <row r="24" spans="1:18" ht="31.5">
      <c r="A24" s="52">
        <v>11</v>
      </c>
      <c r="B24" s="8" t="s">
        <v>30</v>
      </c>
      <c r="C24" s="25">
        <v>0</v>
      </c>
      <c r="D24" s="25">
        <v>0</v>
      </c>
      <c r="E24" s="25">
        <v>0</v>
      </c>
      <c r="F24" s="25">
        <v>0</v>
      </c>
      <c r="G24" s="10">
        <v>1.895</v>
      </c>
      <c r="H24" s="10">
        <f>0.701</f>
        <v>0.701</v>
      </c>
      <c r="I24" s="10">
        <f>0.738+0.878+0.376</f>
        <v>1.992</v>
      </c>
      <c r="J24" s="10">
        <v>0.738</v>
      </c>
      <c r="K24" s="10">
        <f>0.738+0.879+0.376</f>
        <v>1.9929999999999999</v>
      </c>
      <c r="L24" s="10">
        <v>0.738</v>
      </c>
      <c r="M24" s="10">
        <v>1.866</v>
      </c>
      <c r="N24" s="10">
        <v>0.691</v>
      </c>
      <c r="O24" s="10">
        <v>1.974</v>
      </c>
      <c r="P24" s="10">
        <v>0.732</v>
      </c>
      <c r="Q24" s="10">
        <f t="shared" si="2"/>
        <v>9.72</v>
      </c>
      <c r="R24" s="10">
        <f>+P24+N24+L24+J24+H24+F24+D24</f>
        <v>3.6</v>
      </c>
    </row>
    <row r="25" spans="1:18" ht="21">
      <c r="A25" s="52">
        <v>12</v>
      </c>
      <c r="B25" s="8" t="s">
        <v>31</v>
      </c>
      <c r="C25" s="25">
        <v>0</v>
      </c>
      <c r="D25" s="25">
        <v>0</v>
      </c>
      <c r="E25" s="25">
        <v>2.208</v>
      </c>
      <c r="F25" s="25">
        <v>0.816</v>
      </c>
      <c r="G25" s="10">
        <f>0.766+0.912+0.391+1.387-0.918-0.895</f>
        <v>1.6429999999999998</v>
      </c>
      <c r="H25" s="10">
        <v>0.61</v>
      </c>
      <c r="I25" s="10">
        <v>2.104</v>
      </c>
      <c r="J25" s="10">
        <v>0.778</v>
      </c>
      <c r="K25" s="10">
        <v>2.107</v>
      </c>
      <c r="L25" s="10">
        <v>0.779</v>
      </c>
      <c r="M25" s="10">
        <v>2.607</v>
      </c>
      <c r="N25" s="10">
        <v>0.964</v>
      </c>
      <c r="O25" s="10">
        <v>4.072</v>
      </c>
      <c r="P25" s="10">
        <v>1.506</v>
      </c>
      <c r="Q25" s="10">
        <f t="shared" si="2"/>
        <v>14.741000000000001</v>
      </c>
      <c r="R25" s="10">
        <f>+P25+N25+L25+J25+H25+F25+D25-0.001</f>
        <v>5.451999999999999</v>
      </c>
    </row>
    <row r="26" spans="1:19" ht="21">
      <c r="A26" s="52">
        <v>13</v>
      </c>
      <c r="B26" s="8" t="s">
        <v>32</v>
      </c>
      <c r="C26" s="26">
        <v>0</v>
      </c>
      <c r="D26" s="25">
        <v>0</v>
      </c>
      <c r="E26" s="25">
        <f>11.662-0.34</f>
        <v>11.322000000000001</v>
      </c>
      <c r="F26" s="25">
        <f>E26/2</f>
        <v>5.6610000000000005</v>
      </c>
      <c r="G26" s="10">
        <f>18.67+0.34</f>
        <v>19.01</v>
      </c>
      <c r="H26" s="10">
        <f>G26/2</f>
        <v>9.505</v>
      </c>
      <c r="I26" s="10">
        <v>0.75</v>
      </c>
      <c r="J26" s="10">
        <f>I26/2</f>
        <v>0.375</v>
      </c>
      <c r="K26" s="10">
        <v>15.75</v>
      </c>
      <c r="L26" s="10">
        <v>7.875</v>
      </c>
      <c r="M26" s="10">
        <v>15.75</v>
      </c>
      <c r="N26" s="10">
        <v>7.875</v>
      </c>
      <c r="O26" s="10">
        <v>15.75</v>
      </c>
      <c r="P26" s="10">
        <v>7.875</v>
      </c>
      <c r="Q26" s="10">
        <f>O26+M26+K26+I26+G26+E26+C26</f>
        <v>78.33200000000001</v>
      </c>
      <c r="R26" s="10">
        <f>P26+N26+L26+J26+H26+F26+D26</f>
        <v>39.166000000000004</v>
      </c>
      <c r="S26" s="11"/>
    </row>
    <row r="27" spans="1:21" ht="12.75">
      <c r="A27" s="52"/>
      <c r="B27" s="8" t="s">
        <v>5</v>
      </c>
      <c r="C27" s="26">
        <v>31.308</v>
      </c>
      <c r="D27" s="25">
        <f>+C27/2</f>
        <v>15.654</v>
      </c>
      <c r="E27" s="25">
        <f>0.614+1.408</f>
        <v>2.022</v>
      </c>
      <c r="F27" s="25">
        <f>+E27/2</f>
        <v>1.011</v>
      </c>
      <c r="G27" s="10">
        <f>0.886-0.886</f>
        <v>0</v>
      </c>
      <c r="H27" s="10">
        <f>G27/2</f>
        <v>0</v>
      </c>
      <c r="I27" s="10">
        <f>15-0.522</f>
        <v>14.478</v>
      </c>
      <c r="J27" s="10">
        <f>I27/2</f>
        <v>7.239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f>O27+M27+K27+I27+G27+E27+C27</f>
        <v>47.808</v>
      </c>
      <c r="R27" s="10">
        <f>P27+N27+L27+J27+H27+F27+D27</f>
        <v>23.904</v>
      </c>
      <c r="S27" s="11"/>
      <c r="T27" s="11"/>
      <c r="U27" s="11"/>
    </row>
    <row r="28" spans="1:18" ht="31.5">
      <c r="A28" s="52">
        <v>14</v>
      </c>
      <c r="B28" s="8" t="s">
        <v>33</v>
      </c>
      <c r="C28" s="25">
        <v>0</v>
      </c>
      <c r="D28" s="25">
        <v>0</v>
      </c>
      <c r="E28" s="25">
        <f>4.147-0.201</f>
        <v>3.946</v>
      </c>
      <c r="F28" s="25">
        <f>2.074-0.101</f>
        <v>1.9729999999999999</v>
      </c>
      <c r="G28" s="10">
        <f>4.487+0.201</f>
        <v>4.688</v>
      </c>
      <c r="H28" s="10">
        <f>2.243+0.101</f>
        <v>2.344</v>
      </c>
      <c r="I28" s="10">
        <v>5.434</v>
      </c>
      <c r="J28" s="10">
        <v>2.717</v>
      </c>
      <c r="K28" s="10">
        <v>5.432</v>
      </c>
      <c r="L28" s="10">
        <v>2.716</v>
      </c>
      <c r="M28" s="10">
        <v>5.442</v>
      </c>
      <c r="N28" s="10">
        <v>2.721</v>
      </c>
      <c r="O28" s="10">
        <v>5.418</v>
      </c>
      <c r="P28" s="10">
        <v>2.709</v>
      </c>
      <c r="Q28" s="10">
        <f>SUM(C28+E28+G28+I28+K28+M28+O28)+0.001</f>
        <v>30.361</v>
      </c>
      <c r="R28" s="10">
        <f>SUM(D28+F28+H28+J28+L28+N28+P28)</f>
        <v>15.18</v>
      </c>
    </row>
    <row r="29" spans="1:18" ht="52.5">
      <c r="A29" s="52" t="s">
        <v>8</v>
      </c>
      <c r="B29" s="8" t="s">
        <v>34</v>
      </c>
      <c r="C29" s="25">
        <v>0</v>
      </c>
      <c r="D29" s="25">
        <v>0</v>
      </c>
      <c r="E29" s="25">
        <v>0</v>
      </c>
      <c r="F29" s="25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10">
        <f>+O29+M29+K29+I29+G29+E29+C29</f>
        <v>0</v>
      </c>
      <c r="R29" s="10">
        <f>+P29+N29+L29+J29+H29+F29+D29</f>
        <v>0</v>
      </c>
    </row>
    <row r="30" spans="1:20" ht="52.5">
      <c r="A30" s="52" t="s">
        <v>36</v>
      </c>
      <c r="B30" s="8" t="s">
        <v>35</v>
      </c>
      <c r="C30" s="25">
        <f>SUM(C31:C32)</f>
        <v>0</v>
      </c>
      <c r="D30" s="25">
        <f aca="true" t="shared" si="3" ref="D30:O30">SUM(D31:D32)</f>
        <v>0</v>
      </c>
      <c r="E30" s="25">
        <f t="shared" si="3"/>
        <v>1.163</v>
      </c>
      <c r="F30" s="25">
        <f t="shared" si="3"/>
        <v>0.465</v>
      </c>
      <c r="G30" s="10">
        <f t="shared" si="3"/>
        <v>3.0090000000000003</v>
      </c>
      <c r="H30" s="10">
        <f>SUM(H31:H32)+0.001</f>
        <v>1.1219999999999999</v>
      </c>
      <c r="I30" s="10">
        <f t="shared" si="3"/>
        <v>2.802</v>
      </c>
      <c r="J30" s="10">
        <f>SUM(J31:J32)+0.001</f>
        <v>1.0379999999999998</v>
      </c>
      <c r="K30" s="10">
        <f t="shared" si="3"/>
        <v>3.066</v>
      </c>
      <c r="L30" s="10">
        <f t="shared" si="3"/>
        <v>1.135</v>
      </c>
      <c r="M30" s="10">
        <f t="shared" si="3"/>
        <v>3.703</v>
      </c>
      <c r="N30" s="10">
        <f>SUM(N31:N32)+0.001</f>
        <v>1.3719999999999999</v>
      </c>
      <c r="O30" s="10">
        <f t="shared" si="3"/>
        <v>5.776000000000001</v>
      </c>
      <c r="P30" s="10">
        <f>SUM(P31:P32)+0.001</f>
        <v>2.097</v>
      </c>
      <c r="Q30" s="10">
        <f>+O30+M30+K30+I30+G30+E30+C30-0.002</f>
        <v>19.517000000000003</v>
      </c>
      <c r="R30" s="10">
        <f>+P30+N30+L30+J30+H30+F30+D30-0.001</f>
        <v>7.227999999999999</v>
      </c>
      <c r="T30" s="11"/>
    </row>
    <row r="31" spans="1:18" ht="42">
      <c r="A31" s="52" t="s">
        <v>9</v>
      </c>
      <c r="B31" s="8" t="s">
        <v>38</v>
      </c>
      <c r="C31" s="25"/>
      <c r="D31" s="25"/>
      <c r="E31" s="25">
        <v>0</v>
      </c>
      <c r="F31" s="25">
        <v>0</v>
      </c>
      <c r="G31" s="10">
        <f>0.549+0.721+0.309+0.889-0.889</f>
        <v>1.579</v>
      </c>
      <c r="H31" s="10">
        <f>0.549+0.31-0.31</f>
        <v>0.5489999999999999</v>
      </c>
      <c r="I31" s="10">
        <f>0.555+0.729+0.312</f>
        <v>1.596</v>
      </c>
      <c r="J31" s="10">
        <v>0.555</v>
      </c>
      <c r="K31" s="10">
        <f>0.607+0.798+0.342</f>
        <v>1.747</v>
      </c>
      <c r="L31" s="10">
        <v>0.607</v>
      </c>
      <c r="M31" s="10">
        <f>0.733+0.963+0.413</f>
        <v>2.109</v>
      </c>
      <c r="N31" s="10">
        <v>0.733</v>
      </c>
      <c r="O31" s="10">
        <f>0.778+1.021+0.437+0.889+0.964</f>
        <v>4.089</v>
      </c>
      <c r="P31" s="10">
        <f>0.778+0.31-0.001+0.335</f>
        <v>1.4220000000000002</v>
      </c>
      <c r="Q31" s="10">
        <f>+O31+M31+K31+I31+G31+E31+C31-0.001</f>
        <v>11.119000000000002</v>
      </c>
      <c r="R31" s="10">
        <f>+P31+N31+L31+J31+H31+F31+D31+0.001</f>
        <v>3.8670000000000004</v>
      </c>
    </row>
    <row r="32" spans="1:18" ht="21">
      <c r="A32" s="52" t="s">
        <v>10</v>
      </c>
      <c r="B32" s="8" t="s">
        <v>37</v>
      </c>
      <c r="C32" s="25"/>
      <c r="D32" s="25"/>
      <c r="E32" s="25">
        <v>1.163</v>
      </c>
      <c r="F32" s="25">
        <v>0.465</v>
      </c>
      <c r="G32" s="10">
        <f>0.477+0.501+0.215+0.237</f>
        <v>1.4300000000000002</v>
      </c>
      <c r="H32" s="10">
        <v>0.572</v>
      </c>
      <c r="I32" s="10">
        <f>0.482+0.507+0.217</f>
        <v>1.206</v>
      </c>
      <c r="J32" s="10">
        <v>0.482</v>
      </c>
      <c r="K32" s="10">
        <f>0.528+0.554+0.237</f>
        <v>1.319</v>
      </c>
      <c r="L32" s="10">
        <v>0.528</v>
      </c>
      <c r="M32" s="10">
        <f>0.638+0.669+0.287</f>
        <v>1.5939999999999999</v>
      </c>
      <c r="N32" s="10">
        <v>0.638</v>
      </c>
      <c r="O32" s="10">
        <f>0.674+0.709+0.304</f>
        <v>1.687</v>
      </c>
      <c r="P32" s="10">
        <v>0.674</v>
      </c>
      <c r="Q32" s="10">
        <f>+O32+M32+K32+I32+G32+E32+C32+0.001</f>
        <v>8.399999999999999</v>
      </c>
      <c r="R32" s="10">
        <f>+P32+N32+L32+J32+H32+F32+D32+0.001</f>
        <v>3.36</v>
      </c>
    </row>
    <row r="33" spans="1:18" s="19" customFormat="1" ht="12.75">
      <c r="A33" s="18"/>
      <c r="B33" s="16" t="s">
        <v>4</v>
      </c>
      <c r="C33" s="25">
        <f>SUM(C30+C29+C28+C27+C26+C25+C24+C23+C22+C21+C20+C19+C18+C15+C12+C11+C10+C9+C8)</f>
        <v>31.308</v>
      </c>
      <c r="D33" s="25">
        <f>SUM(D30+D29+D28+D27+D26+D25+D24+D23+D22+D21+D20+D19+D18+D15+D12+D11+D10+D9+D8)</f>
        <v>15.654</v>
      </c>
      <c r="E33" s="25">
        <f>SUM(E30+E29+E28+E27+E26+E25+E24+E23+E22+E21+E20+E19+E18+E15+E12+E11+E10+E9+E8)</f>
        <v>29.750999999999998</v>
      </c>
      <c r="F33" s="25">
        <f>SUM(F30+F29+F28+F27+F26+F25+F24+F23+F22+F21+F20+F19+F18+F15+F12+F11+F10+F9+F8)-0.001</f>
        <v>13.296000000000003</v>
      </c>
      <c r="G33" s="13">
        <f>SUM(G30+G29+G28+G27+G26+G25+G24+G23+G22+G21+G20+G19+G18+G15+G12+G11+G10+G9+G8)</f>
        <v>43.119</v>
      </c>
      <c r="H33" s="13">
        <f>SUM(H30+H29+H28+H27+H26+H25+H24+H23+H22+H21+H20+H19+H18+H15+H12+H11+H10+H9+H8)-0.001</f>
        <v>19.241999999999997</v>
      </c>
      <c r="I33" s="13">
        <f>SUM(I30+I29+I28+I27+I26+I25+I24+I23+I22+I21+I20+I19+I18+I15+I12+I11+I10+I9+I8)</f>
        <v>37.903999999999996</v>
      </c>
      <c r="J33" s="13">
        <f>SUM(J30+J29+J28+J27+J26+J25+J24+J23+J22+J21+J20+J19+J18+J15+J12+J11+J10+J9+J8)</f>
        <v>16.679</v>
      </c>
      <c r="K33" s="13">
        <f>SUM(K30+K29+K28+K27+K26+K25+K24+K23+K22+K21+K20+K19+K18+K15+K12+K11+K10+K9+K8)-0.004</f>
        <v>39.577000000000005</v>
      </c>
      <c r="L33" s="13">
        <f>SUM(L30+L29+L28+L27+L26+L25+L24+L23+L22+L21+L20+L19+L18+L15+L12+L11+L10+L9+L8)-0.001</f>
        <v>17.319999999999997</v>
      </c>
      <c r="M33" s="13">
        <f>SUM(M30+M29+M28+M27+M26+M25+M24+M23+M22+M21+M20+M19+M18+M15+M12+M11+M10+M9+M8)-0.001</f>
        <v>40.97300000000001</v>
      </c>
      <c r="N33" s="13">
        <f>SUM(N30+N29+N28+N27+N26+N25+N24+N23+N22+N21+N20+N19+N18+N15+N12+N11+N10+N9+N8)-0.001</f>
        <v>17.843000000000004</v>
      </c>
      <c r="O33" s="13">
        <f>SUM(O30+O29+O28+O27+O26+O25+O24+O23+O22+O21+O20+O19+O18+O15+O12+O11+O10+O9+O8)-0.002</f>
        <v>43.29199999999999</v>
      </c>
      <c r="P33" s="13">
        <f>SUM(P30+P29+P28+P27+P26+P25+P24+P23+P22+P21+P20+P19+P18+P15+P12+P11+P10+P9+P8)-0.002</f>
        <v>18.637</v>
      </c>
      <c r="Q33" s="13">
        <f>SUM(C33+E33+G33+I33+K33+M33+O33)</f>
        <v>265.924</v>
      </c>
      <c r="R33" s="13">
        <f>SUM(D33+F33+H33+J33+L33+N33+P33)-0.001</f>
        <v>118.66999999999999</v>
      </c>
    </row>
    <row r="34" spans="2:18" ht="12.75">
      <c r="B34" s="6"/>
      <c r="C34" s="30"/>
      <c r="D34" s="30"/>
      <c r="E34" s="20"/>
      <c r="F34" s="27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</row>
    <row r="35" ht="12.75">
      <c r="A35" s="32" t="s">
        <v>45</v>
      </c>
    </row>
    <row r="36" ht="12.75">
      <c r="B36" s="21"/>
    </row>
    <row r="39" ht="12.75">
      <c r="C39" s="31"/>
    </row>
  </sheetData>
  <mergeCells count="16">
    <mergeCell ref="C5:D5"/>
    <mergeCell ref="E5:F5"/>
    <mergeCell ref="G5:H5"/>
    <mergeCell ref="I5:J5"/>
    <mergeCell ref="K5:L5"/>
    <mergeCell ref="M5:N5"/>
    <mergeCell ref="O5:P5"/>
    <mergeCell ref="Q5:R5"/>
    <mergeCell ref="C6:D6"/>
    <mergeCell ref="E6:F6"/>
    <mergeCell ref="G6:H6"/>
    <mergeCell ref="I6:J6"/>
    <mergeCell ref="K6:L6"/>
    <mergeCell ref="M6:N6"/>
    <mergeCell ref="O6:P6"/>
    <mergeCell ref="Q6:R6"/>
  </mergeCells>
  <printOptions horizontalCentered="1" verticalCentered="1"/>
  <pageMargins left="0.15748031496062992" right="0.1968503937007874" top="0.3937007874015748" bottom="0.3937007874015748" header="0.2362204724409449" footer="0.2362204724409449"/>
  <pageSetup fitToHeight="1" fitToWidth="1" horizontalDpi="600" verticalDpi="600" orientation="landscape" paperSize="9" scale="59" r:id="rId1"/>
  <headerFooter alignWithMargins="0">
    <oddHeader>&amp;CPSR 2000-2006</oddHeader>
    <oddFooter>&amp;C&amp;"Arial Narrow,Normale"&amp;10&amp;F&amp;R&amp;A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3">
    <pageSetUpPr fitToPage="1"/>
  </sheetPr>
  <dimension ref="A1:U36"/>
  <sheetViews>
    <sheetView showGridLines="0" showZeros="0" workbookViewId="0" topLeftCell="I5">
      <pane ySplit="3" topLeftCell="BM28" activePane="bottomLeft" state="frozen"/>
      <selection pane="topLeft" activeCell="J45" sqref="J45"/>
      <selection pane="bottomLeft" activeCell="R33" sqref="R33"/>
    </sheetView>
  </sheetViews>
  <sheetFormatPr defaultColWidth="9.140625" defaultRowHeight="12"/>
  <cols>
    <col min="1" max="1" width="6.8515625" style="1" customWidth="1"/>
    <col min="2" max="2" width="30.00390625" style="1" customWidth="1"/>
    <col min="3" max="3" width="10.57421875" style="22" customWidth="1"/>
    <col min="4" max="4" width="11.57421875" style="22" customWidth="1"/>
    <col min="5" max="5" width="10.00390625" style="5" customWidth="1"/>
    <col min="6" max="6" width="11.00390625" style="19" customWidth="1"/>
    <col min="7" max="18" width="10.00390625" style="5" customWidth="1"/>
    <col min="19" max="16384" width="9.140625" style="1" customWidth="1"/>
  </cols>
  <sheetData>
    <row r="1" ht="12.75">
      <c r="A1" s="4" t="s">
        <v>46</v>
      </c>
    </row>
    <row r="2" ht="12.75">
      <c r="A2" s="4"/>
    </row>
    <row r="3" ht="12.75">
      <c r="A3" s="58" t="s">
        <v>49</v>
      </c>
    </row>
    <row r="5" spans="1:18" s="35" customFormat="1" ht="12.75">
      <c r="A5" s="49"/>
      <c r="B5" s="50"/>
      <c r="C5" s="68" t="s">
        <v>6</v>
      </c>
      <c r="D5" s="68"/>
      <c r="E5" s="69" t="s">
        <v>6</v>
      </c>
      <c r="F5" s="68"/>
      <c r="G5" s="65" t="s">
        <v>6</v>
      </c>
      <c r="H5" s="66"/>
      <c r="I5" s="65" t="s">
        <v>6</v>
      </c>
      <c r="J5" s="66"/>
      <c r="K5" s="65" t="s">
        <v>6</v>
      </c>
      <c r="L5" s="66"/>
      <c r="M5" s="65" t="s">
        <v>6</v>
      </c>
      <c r="N5" s="66"/>
      <c r="O5" s="65" t="s">
        <v>6</v>
      </c>
      <c r="P5" s="67"/>
      <c r="Q5" s="66" t="s">
        <v>1</v>
      </c>
      <c r="R5" s="67"/>
    </row>
    <row r="6" spans="1:18" s="2" customFormat="1" ht="12.75">
      <c r="A6" s="45"/>
      <c r="B6" s="46" t="s">
        <v>0</v>
      </c>
      <c r="C6" s="62">
        <v>2000</v>
      </c>
      <c r="D6" s="62"/>
      <c r="E6" s="63">
        <v>2001</v>
      </c>
      <c r="F6" s="64"/>
      <c r="G6" s="59">
        <v>2002</v>
      </c>
      <c r="H6" s="59"/>
      <c r="I6" s="60">
        <v>2003</v>
      </c>
      <c r="J6" s="61"/>
      <c r="K6" s="59">
        <v>2004</v>
      </c>
      <c r="L6" s="59"/>
      <c r="M6" s="60">
        <v>2005</v>
      </c>
      <c r="N6" s="61"/>
      <c r="O6" s="60">
        <v>2006</v>
      </c>
      <c r="P6" s="61"/>
      <c r="Q6" s="70"/>
      <c r="R6" s="71"/>
    </row>
    <row r="7" spans="1:18" ht="25.5">
      <c r="A7" s="47"/>
      <c r="B7" s="48"/>
      <c r="C7" s="24" t="s">
        <v>2</v>
      </c>
      <c r="D7" s="24" t="s">
        <v>42</v>
      </c>
      <c r="E7" s="24" t="s">
        <v>2</v>
      </c>
      <c r="F7" s="24" t="s">
        <v>42</v>
      </c>
      <c r="G7" s="51" t="s">
        <v>2</v>
      </c>
      <c r="H7" s="51" t="s">
        <v>42</v>
      </c>
      <c r="I7" s="51" t="s">
        <v>2</v>
      </c>
      <c r="J7" s="51" t="s">
        <v>42</v>
      </c>
      <c r="K7" s="51" t="s">
        <v>2</v>
      </c>
      <c r="L7" s="51" t="s">
        <v>42</v>
      </c>
      <c r="M7" s="51" t="s">
        <v>2</v>
      </c>
      <c r="N7" s="51" t="s">
        <v>42</v>
      </c>
      <c r="O7" s="51" t="s">
        <v>2</v>
      </c>
      <c r="P7" s="51" t="s">
        <v>42</v>
      </c>
      <c r="Q7" s="51" t="s">
        <v>2</v>
      </c>
      <c r="R7" s="51" t="s">
        <v>42</v>
      </c>
    </row>
    <row r="8" spans="1:19" s="5" customFormat="1" ht="21">
      <c r="A8" s="52">
        <v>1</v>
      </c>
      <c r="B8" s="8" t="s">
        <v>14</v>
      </c>
      <c r="C8" s="25">
        <v>0</v>
      </c>
      <c r="D8" s="25">
        <v>0</v>
      </c>
      <c r="E8" s="25">
        <f>4.366-0.057</f>
        <v>4.308999999999999</v>
      </c>
      <c r="F8" s="25">
        <f>0.412-0.005</f>
        <v>0.407</v>
      </c>
      <c r="G8" s="10">
        <f>6.537+0.057</f>
        <v>6.594</v>
      </c>
      <c r="H8" s="10">
        <f>0.569+0.005</f>
        <v>0.574</v>
      </c>
      <c r="I8" s="10">
        <f>7.235-1</f>
        <v>6.235</v>
      </c>
      <c r="J8" s="10">
        <f>+I8*0.09</f>
        <v>0.56115</v>
      </c>
      <c r="K8" s="10">
        <f>9.905-1</f>
        <v>8.905</v>
      </c>
      <c r="L8" s="10">
        <f>+K8*0.09</f>
        <v>0.8014499999999999</v>
      </c>
      <c r="M8" s="10">
        <f>9.859-1</f>
        <v>8.859</v>
      </c>
      <c r="N8" s="10">
        <f>+M8*0.09</f>
        <v>0.79731</v>
      </c>
      <c r="O8" s="10">
        <f>10.098-1</f>
        <v>9.098</v>
      </c>
      <c r="P8" s="10">
        <f>+O8*0.09</f>
        <v>0.81882</v>
      </c>
      <c r="Q8" s="10">
        <f>+O8+M8+K8+I8+G8+E8+C8</f>
        <v>44</v>
      </c>
      <c r="R8" s="10">
        <f>+P8+N8+L8+J8+H8+F8+D8</f>
        <v>3.95973</v>
      </c>
      <c r="S8" s="11"/>
    </row>
    <row r="9" spans="1:18" ht="21">
      <c r="A9" s="52">
        <v>2</v>
      </c>
      <c r="B9" s="8" t="s">
        <v>15</v>
      </c>
      <c r="C9" s="25">
        <v>0</v>
      </c>
      <c r="D9" s="25">
        <v>0</v>
      </c>
      <c r="E9" s="25">
        <v>0.575</v>
      </c>
      <c r="F9" s="25">
        <f>+E9*0.15</f>
        <v>0.08625</v>
      </c>
      <c r="G9" s="10">
        <v>1.731</v>
      </c>
      <c r="H9" s="10">
        <f>+G9*0.15+0.001</f>
        <v>0.26065</v>
      </c>
      <c r="I9" s="10">
        <v>0.886</v>
      </c>
      <c r="J9" s="10">
        <f>+I9*0.15+0.001</f>
        <v>0.1339</v>
      </c>
      <c r="K9" s="10">
        <v>0.886</v>
      </c>
      <c r="L9" s="10">
        <f>+K9*0.15+0.001</f>
        <v>0.1339</v>
      </c>
      <c r="M9" s="10">
        <v>0.886</v>
      </c>
      <c r="N9" s="10">
        <f>+M9*0.15+0.001</f>
        <v>0.1339</v>
      </c>
      <c r="O9" s="10">
        <v>0.888</v>
      </c>
      <c r="P9" s="10">
        <f>+O9*0.15</f>
        <v>0.13319999999999999</v>
      </c>
      <c r="Q9" s="10">
        <f>+O9+M9+K9+I9+G9+E9+C9</f>
        <v>5.852</v>
      </c>
      <c r="R9" s="10">
        <f>+P9+N9+L9+J9+H9+F9+D9-0.004</f>
        <v>0.8777999999999999</v>
      </c>
    </row>
    <row r="10" spans="1:18" ht="12.75">
      <c r="A10" s="52">
        <v>3</v>
      </c>
      <c r="B10" s="8" t="s">
        <v>16</v>
      </c>
      <c r="C10" s="25">
        <v>0</v>
      </c>
      <c r="D10" s="25">
        <v>0</v>
      </c>
      <c r="E10" s="25">
        <v>0</v>
      </c>
      <c r="F10" s="25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f>+O10+M10+K10+I10+G10+E10+C10</f>
        <v>0</v>
      </c>
      <c r="R10" s="10">
        <f>+P10+N10+L10+J10+H10+F10+D10</f>
        <v>0</v>
      </c>
    </row>
    <row r="11" spans="1:18" ht="21">
      <c r="A11" s="52">
        <v>4</v>
      </c>
      <c r="B11" s="8" t="s">
        <v>17</v>
      </c>
      <c r="C11" s="25">
        <v>0</v>
      </c>
      <c r="D11" s="25">
        <v>0</v>
      </c>
      <c r="E11" s="25">
        <v>0</v>
      </c>
      <c r="F11" s="25">
        <f>+E11*0.161</f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f>+K11*0.161</f>
        <v>0</v>
      </c>
      <c r="M11" s="10">
        <v>0</v>
      </c>
      <c r="N11" s="10">
        <f>+M11*0.161</f>
        <v>0</v>
      </c>
      <c r="O11" s="10">
        <v>0</v>
      </c>
      <c r="P11" s="10">
        <f>+O11*0.161</f>
        <v>0</v>
      </c>
      <c r="Q11" s="10">
        <f>+O11+M11+K11+I11+G11+E11+C11</f>
        <v>0</v>
      </c>
      <c r="R11" s="10">
        <f>+P11+N11+L11+J11+H11+F11+D11</f>
        <v>0</v>
      </c>
    </row>
    <row r="12" spans="1:19" s="5" customFormat="1" ht="42">
      <c r="A12" s="52" t="s">
        <v>21</v>
      </c>
      <c r="B12" s="8" t="s">
        <v>39</v>
      </c>
      <c r="C12" s="25">
        <v>0</v>
      </c>
      <c r="D12" s="25">
        <v>0</v>
      </c>
      <c r="E12" s="25">
        <f>SUM(E13:E14)</f>
        <v>1.778</v>
      </c>
      <c r="F12" s="25">
        <f aca="true" t="shared" si="0" ref="F12:P12">SUM(F13:F14)</f>
        <v>0.155</v>
      </c>
      <c r="G12" s="10">
        <f t="shared" si="0"/>
        <v>2.362</v>
      </c>
      <c r="H12" s="10">
        <f t="shared" si="0"/>
        <v>0.3331</v>
      </c>
      <c r="I12" s="10">
        <f t="shared" si="0"/>
        <v>3.153</v>
      </c>
      <c r="J12" s="10">
        <f t="shared" si="0"/>
        <v>0.35127</v>
      </c>
      <c r="K12" s="10">
        <f t="shared" si="0"/>
        <v>3.153</v>
      </c>
      <c r="L12" s="10">
        <f t="shared" si="0"/>
        <v>0.35127</v>
      </c>
      <c r="M12" s="10">
        <f t="shared" si="0"/>
        <v>2.947</v>
      </c>
      <c r="N12" s="10">
        <f t="shared" si="0"/>
        <v>0.33273</v>
      </c>
      <c r="O12" s="10">
        <f t="shared" si="0"/>
        <v>2.967</v>
      </c>
      <c r="P12" s="10">
        <f t="shared" si="0"/>
        <v>0.35403000000000007</v>
      </c>
      <c r="Q12" s="10">
        <f aca="true" t="shared" si="1" ref="Q12:R15">SUM(O12+M12+K12+I12+G12+E12)</f>
        <v>16.36</v>
      </c>
      <c r="R12" s="10">
        <f t="shared" si="1"/>
        <v>1.8774</v>
      </c>
      <c r="S12" s="11"/>
    </row>
    <row r="13" spans="1:18" s="5" customFormat="1" ht="21">
      <c r="A13" s="52" t="s">
        <v>22</v>
      </c>
      <c r="B13" s="8" t="s">
        <v>24</v>
      </c>
      <c r="C13" s="25"/>
      <c r="D13" s="25"/>
      <c r="E13" s="25">
        <v>1.778</v>
      </c>
      <c r="F13" s="25">
        <v>0.155</v>
      </c>
      <c r="G13" s="10">
        <v>0.822</v>
      </c>
      <c r="H13" s="10">
        <v>0.079</v>
      </c>
      <c r="I13" s="10">
        <v>2.253</v>
      </c>
      <c r="J13" s="10">
        <f>+I13*0.09</f>
        <v>0.20277</v>
      </c>
      <c r="K13" s="10">
        <v>2.253</v>
      </c>
      <c r="L13" s="10">
        <f>+K13*0.09</f>
        <v>0.20277</v>
      </c>
      <c r="M13" s="10">
        <v>2.047</v>
      </c>
      <c r="N13" s="10">
        <f>+M13*0.09</f>
        <v>0.18423</v>
      </c>
      <c r="O13" s="10">
        <v>1.807</v>
      </c>
      <c r="P13" s="10">
        <f>+O13*0.09</f>
        <v>0.16263</v>
      </c>
      <c r="Q13" s="10">
        <f t="shared" si="1"/>
        <v>10.959999999999999</v>
      </c>
      <c r="R13" s="10">
        <f t="shared" si="1"/>
        <v>0.9864</v>
      </c>
    </row>
    <row r="14" spans="1:19" s="5" customFormat="1" ht="42">
      <c r="A14" s="52" t="s">
        <v>23</v>
      </c>
      <c r="B14" s="8" t="s">
        <v>40</v>
      </c>
      <c r="C14" s="25"/>
      <c r="D14" s="25"/>
      <c r="E14" s="25">
        <v>0</v>
      </c>
      <c r="F14" s="25">
        <v>0</v>
      </c>
      <c r="G14" s="10">
        <f>0.9+0.64</f>
        <v>1.54</v>
      </c>
      <c r="H14" s="10">
        <f>+G14*0.165</f>
        <v>0.2541</v>
      </c>
      <c r="I14" s="10">
        <f>0.9</f>
        <v>0.9</v>
      </c>
      <c r="J14" s="10">
        <f>+I14*0.165</f>
        <v>0.14850000000000002</v>
      </c>
      <c r="K14" s="10">
        <f>0.9</f>
        <v>0.9</v>
      </c>
      <c r="L14" s="10">
        <f>+K14*0.165</f>
        <v>0.14850000000000002</v>
      </c>
      <c r="M14" s="10">
        <f>0.9</f>
        <v>0.9</v>
      </c>
      <c r="N14" s="10">
        <f>+M14*0.165</f>
        <v>0.14850000000000002</v>
      </c>
      <c r="O14" s="10">
        <f>0.9+0.26</f>
        <v>1.1600000000000001</v>
      </c>
      <c r="P14" s="10">
        <f>+O14*0.165</f>
        <v>0.19140000000000004</v>
      </c>
      <c r="Q14" s="10">
        <f t="shared" si="1"/>
        <v>5.4</v>
      </c>
      <c r="R14" s="10">
        <f t="shared" si="1"/>
        <v>0.8910000000000001</v>
      </c>
      <c r="S14" s="11"/>
    </row>
    <row r="15" spans="1:19" ht="52.5">
      <c r="A15" s="52" t="s">
        <v>11</v>
      </c>
      <c r="B15" s="8" t="s">
        <v>18</v>
      </c>
      <c r="C15" s="25">
        <v>0</v>
      </c>
      <c r="D15" s="25">
        <v>0</v>
      </c>
      <c r="E15" s="25">
        <f aca="true" t="shared" si="2" ref="E15:P15">SUM(E16:E17)</f>
        <v>0.125</v>
      </c>
      <c r="F15" s="25">
        <f t="shared" si="2"/>
        <v>0.013425</v>
      </c>
      <c r="G15" s="10">
        <f t="shared" si="2"/>
        <v>1.675</v>
      </c>
      <c r="H15" s="10">
        <f t="shared" si="2"/>
        <v>0.154515</v>
      </c>
      <c r="I15" s="10">
        <f t="shared" si="2"/>
        <v>0.9</v>
      </c>
      <c r="J15" s="10">
        <f t="shared" si="2"/>
        <v>0.084</v>
      </c>
      <c r="K15" s="10">
        <f t="shared" si="2"/>
        <v>0.9</v>
      </c>
      <c r="L15" s="10">
        <f t="shared" si="2"/>
        <v>0.084</v>
      </c>
      <c r="M15" s="10">
        <f t="shared" si="2"/>
        <v>0.9</v>
      </c>
      <c r="N15" s="10">
        <f t="shared" si="2"/>
        <v>0.084</v>
      </c>
      <c r="O15" s="10">
        <f t="shared" si="2"/>
        <v>0.9</v>
      </c>
      <c r="P15" s="10">
        <f t="shared" si="2"/>
        <v>0.084</v>
      </c>
      <c r="Q15" s="10">
        <f t="shared" si="1"/>
        <v>5.4</v>
      </c>
      <c r="R15" s="10">
        <f t="shared" si="1"/>
        <v>0.50394</v>
      </c>
      <c r="S15" s="14"/>
    </row>
    <row r="16" spans="1:18" ht="52.5">
      <c r="A16" s="52" t="s">
        <v>12</v>
      </c>
      <c r="B16" s="8" t="s">
        <v>19</v>
      </c>
      <c r="C16" s="25"/>
      <c r="D16" s="25"/>
      <c r="E16" s="25">
        <v>0.08</v>
      </c>
      <c r="F16" s="25">
        <f>+E16*0.075</f>
        <v>0.006</v>
      </c>
      <c r="G16" s="10">
        <v>1.354</v>
      </c>
      <c r="H16" s="10">
        <f>+G16*0.075</f>
        <v>0.10155</v>
      </c>
      <c r="I16" s="10">
        <f>0.9*4.3/5.4</f>
        <v>0.7166666666666667</v>
      </c>
      <c r="J16" s="10">
        <f>+I16*0.075</f>
        <v>0.05375</v>
      </c>
      <c r="K16" s="10">
        <f>0.9*4.3/5.4</f>
        <v>0.7166666666666667</v>
      </c>
      <c r="L16" s="10">
        <f>+K16*0.075</f>
        <v>0.05375</v>
      </c>
      <c r="M16" s="10">
        <f>0.9*4.3/5.4</f>
        <v>0.7166666666666667</v>
      </c>
      <c r="N16" s="10">
        <f>+M16*0.075</f>
        <v>0.05375</v>
      </c>
      <c r="O16" s="10">
        <f>0.9*4.3/5.4</f>
        <v>0.7166666666666667</v>
      </c>
      <c r="P16" s="10">
        <f>+O16*0.075</f>
        <v>0.05375</v>
      </c>
      <c r="Q16" s="10">
        <f>SUM(O16+M16+K16+I16+G16+E16)-0.001</f>
        <v>4.299666666666666</v>
      </c>
      <c r="R16" s="10">
        <f>SUM(P16+N16+L16+J16+H16+F16)+0.001</f>
        <v>0.32355</v>
      </c>
    </row>
    <row r="17" spans="1:18" ht="63">
      <c r="A17" s="52" t="s">
        <v>13</v>
      </c>
      <c r="B17" s="8" t="s">
        <v>20</v>
      </c>
      <c r="C17" s="25"/>
      <c r="D17" s="25"/>
      <c r="E17" s="25">
        <v>0.045</v>
      </c>
      <c r="F17" s="25">
        <f>+E17*0.165</f>
        <v>0.007425</v>
      </c>
      <c r="G17" s="10">
        <v>0.321</v>
      </c>
      <c r="H17" s="10">
        <f>+G17*0.165</f>
        <v>0.052965000000000005</v>
      </c>
      <c r="I17" s="10">
        <f>0.9*1.1/5.4</f>
        <v>0.18333333333333335</v>
      </c>
      <c r="J17" s="10">
        <f>+I17*0.165</f>
        <v>0.030250000000000003</v>
      </c>
      <c r="K17" s="10">
        <f>0.9*1.1/5.4</f>
        <v>0.18333333333333335</v>
      </c>
      <c r="L17" s="10">
        <f>+K17*0.165</f>
        <v>0.030250000000000003</v>
      </c>
      <c r="M17" s="10">
        <f>0.9*1.1/5.4</f>
        <v>0.18333333333333335</v>
      </c>
      <c r="N17" s="10">
        <f>+M17*0.165</f>
        <v>0.030250000000000003</v>
      </c>
      <c r="O17" s="10">
        <f>0.9*1.1/5.4</f>
        <v>0.18333333333333335</v>
      </c>
      <c r="P17" s="10">
        <f>+O17*0.165</f>
        <v>0.030250000000000003</v>
      </c>
      <c r="Q17" s="10">
        <f>SUM(O17+M17+K17+I17+G17+E17)+0.001</f>
        <v>1.1003333333333332</v>
      </c>
      <c r="R17" s="10">
        <f>SUM(P17+N17+L17+J17+H17+F17)+0.001</f>
        <v>0.18239</v>
      </c>
    </row>
    <row r="18" spans="1:18" ht="31.5">
      <c r="A18" s="52"/>
      <c r="B18" s="8" t="s">
        <v>7</v>
      </c>
      <c r="C18" s="25">
        <v>0</v>
      </c>
      <c r="D18" s="25">
        <v>0</v>
      </c>
      <c r="E18" s="25">
        <f>0.642-0.642</f>
        <v>0</v>
      </c>
      <c r="F18" s="25">
        <v>0</v>
      </c>
      <c r="G18" s="10">
        <f>0.358+0.642</f>
        <v>1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f aca="true" t="shared" si="3" ref="Q18:R23">+O18+M18+K18+I18+G18+E18+C18</f>
        <v>1</v>
      </c>
      <c r="R18" s="10">
        <f t="shared" si="3"/>
        <v>0</v>
      </c>
    </row>
    <row r="19" spans="1:18" ht="42">
      <c r="A19" s="52">
        <v>6</v>
      </c>
      <c r="B19" s="8" t="s">
        <v>25</v>
      </c>
      <c r="C19" s="25">
        <v>0</v>
      </c>
      <c r="D19" s="25">
        <v>0</v>
      </c>
      <c r="E19" s="25">
        <v>13.916</v>
      </c>
      <c r="F19" s="25">
        <f>+E19*0.075</f>
        <v>1.0437</v>
      </c>
      <c r="G19" s="10">
        <v>11.777</v>
      </c>
      <c r="H19" s="10">
        <f>+G19*0.075</f>
        <v>0.8832749999999999</v>
      </c>
      <c r="I19" s="10">
        <v>10.88</v>
      </c>
      <c r="J19" s="10">
        <f>+I19*0.075</f>
        <v>0.8160000000000001</v>
      </c>
      <c r="K19" s="10">
        <v>10.1</v>
      </c>
      <c r="L19" s="10">
        <f>+K19*0.075</f>
        <v>0.7575</v>
      </c>
      <c r="M19" s="10">
        <v>11.1</v>
      </c>
      <c r="N19" s="10">
        <f>+M19*0.075</f>
        <v>0.8324999999999999</v>
      </c>
      <c r="O19" s="10">
        <v>7.06</v>
      </c>
      <c r="P19" s="10">
        <f>+O19*0.075</f>
        <v>0.5295</v>
      </c>
      <c r="Q19" s="10">
        <f t="shared" si="3"/>
        <v>64.833</v>
      </c>
      <c r="R19" s="10">
        <f t="shared" si="3"/>
        <v>4.862475</v>
      </c>
    </row>
    <row r="20" spans="1:18" ht="31.5">
      <c r="A20" s="52">
        <v>7</v>
      </c>
      <c r="B20" s="8" t="s">
        <v>26</v>
      </c>
      <c r="C20" s="25">
        <v>0</v>
      </c>
      <c r="D20" s="25">
        <v>0</v>
      </c>
      <c r="E20" s="25">
        <v>0</v>
      </c>
      <c r="F20" s="25">
        <v>0</v>
      </c>
      <c r="G20" s="10">
        <v>0</v>
      </c>
      <c r="H20" s="10">
        <f>+G20*0.151</f>
        <v>0</v>
      </c>
      <c r="I20" s="10">
        <v>0</v>
      </c>
      <c r="J20" s="10">
        <f>+I20*0.151</f>
        <v>0</v>
      </c>
      <c r="K20" s="10">
        <v>0</v>
      </c>
      <c r="L20" s="10">
        <f>+K20*0.151</f>
        <v>0</v>
      </c>
      <c r="M20" s="10">
        <v>0</v>
      </c>
      <c r="N20" s="10">
        <f>+M20*0.151</f>
        <v>0</v>
      </c>
      <c r="O20" s="10">
        <v>0</v>
      </c>
      <c r="P20" s="10">
        <f>+O20*0.151</f>
        <v>0</v>
      </c>
      <c r="Q20" s="10">
        <f t="shared" si="3"/>
        <v>0</v>
      </c>
      <c r="R20" s="10">
        <f t="shared" si="3"/>
        <v>0</v>
      </c>
    </row>
    <row r="21" spans="1:18" ht="12.75">
      <c r="A21" s="52">
        <v>8</v>
      </c>
      <c r="B21" s="8" t="s">
        <v>27</v>
      </c>
      <c r="C21" s="25">
        <v>0</v>
      </c>
      <c r="D21" s="25">
        <v>0</v>
      </c>
      <c r="E21" s="25">
        <v>0.075</v>
      </c>
      <c r="F21" s="25">
        <f>+E21*0.15</f>
        <v>0.01125</v>
      </c>
      <c r="G21" s="10">
        <v>0.135</v>
      </c>
      <c r="H21" s="10">
        <f>+G21*0.15</f>
        <v>0.02025</v>
      </c>
      <c r="I21" s="10">
        <v>0.135</v>
      </c>
      <c r="J21" s="10">
        <f>+I21*0.15</f>
        <v>0.02025</v>
      </c>
      <c r="K21" s="10">
        <v>0.135</v>
      </c>
      <c r="L21" s="10">
        <f>+K21*0.15</f>
        <v>0.02025</v>
      </c>
      <c r="M21" s="10">
        <v>0.135</v>
      </c>
      <c r="N21" s="10">
        <f>+M21*0.15</f>
        <v>0.02025</v>
      </c>
      <c r="O21" s="10">
        <v>0.135</v>
      </c>
      <c r="P21" s="10">
        <f>+O21*0.15</f>
        <v>0.02025</v>
      </c>
      <c r="Q21" s="10">
        <f t="shared" si="3"/>
        <v>0.75</v>
      </c>
      <c r="R21" s="10">
        <f t="shared" si="3"/>
        <v>0.1125</v>
      </c>
    </row>
    <row r="22" spans="1:18" ht="52.5">
      <c r="A22" s="52">
        <v>9</v>
      </c>
      <c r="B22" s="8" t="s">
        <v>28</v>
      </c>
      <c r="C22" s="25">
        <v>0</v>
      </c>
      <c r="D22" s="25">
        <v>0</v>
      </c>
      <c r="E22" s="25">
        <v>0</v>
      </c>
      <c r="F22" s="25">
        <v>0</v>
      </c>
      <c r="G22" s="10">
        <v>0</v>
      </c>
      <c r="H22" s="10">
        <f>+G22*0.095</f>
        <v>0</v>
      </c>
      <c r="I22" s="10">
        <v>0</v>
      </c>
      <c r="J22" s="10">
        <f>+I22*0.095</f>
        <v>0</v>
      </c>
      <c r="K22" s="10">
        <v>0</v>
      </c>
      <c r="L22" s="10">
        <f>+K22*0.095</f>
        <v>0</v>
      </c>
      <c r="M22" s="10">
        <v>0.168</v>
      </c>
      <c r="N22" s="10">
        <f>+M22*0.095</f>
        <v>0.015960000000000002</v>
      </c>
      <c r="O22" s="10">
        <v>0.362</v>
      </c>
      <c r="P22" s="10">
        <f>+O22*0.095</f>
        <v>0.03439</v>
      </c>
      <c r="Q22" s="10">
        <f t="shared" si="3"/>
        <v>0.53</v>
      </c>
      <c r="R22" s="10">
        <f t="shared" si="3"/>
        <v>0.05035</v>
      </c>
    </row>
    <row r="23" spans="1:18" ht="21">
      <c r="A23" s="52">
        <v>10</v>
      </c>
      <c r="B23" s="8" t="s">
        <v>29</v>
      </c>
      <c r="C23" s="25">
        <v>0</v>
      </c>
      <c r="D23" s="25">
        <v>0</v>
      </c>
      <c r="E23" s="25">
        <v>0</v>
      </c>
      <c r="F23" s="25">
        <v>0</v>
      </c>
      <c r="G23" s="10">
        <v>0</v>
      </c>
      <c r="H23" s="10">
        <f>+G23*0.151</f>
        <v>0</v>
      </c>
      <c r="I23" s="10">
        <v>0</v>
      </c>
      <c r="J23" s="10">
        <f>+I23*0.151</f>
        <v>0</v>
      </c>
      <c r="K23" s="10">
        <v>0</v>
      </c>
      <c r="L23" s="10">
        <f>+K23*0.151</f>
        <v>0</v>
      </c>
      <c r="M23" s="10">
        <v>0</v>
      </c>
      <c r="N23" s="10">
        <f>+M23*0.151</f>
        <v>0</v>
      </c>
      <c r="O23" s="10">
        <v>0</v>
      </c>
      <c r="P23" s="10">
        <f>+O23*0.151</f>
        <v>0</v>
      </c>
      <c r="Q23" s="10">
        <f t="shared" si="3"/>
        <v>0</v>
      </c>
      <c r="R23" s="10">
        <f t="shared" si="3"/>
        <v>0</v>
      </c>
    </row>
    <row r="24" spans="1:18" ht="31.5">
      <c r="A24" s="52">
        <v>11</v>
      </c>
      <c r="B24" s="8" t="s">
        <v>30</v>
      </c>
      <c r="C24" s="25">
        <v>0</v>
      </c>
      <c r="D24" s="25">
        <v>0</v>
      </c>
      <c r="E24" s="25">
        <v>0</v>
      </c>
      <c r="F24" s="25">
        <f>+E24*0.151</f>
        <v>0</v>
      </c>
      <c r="G24" s="10">
        <f>2.369</f>
        <v>2.369</v>
      </c>
      <c r="H24" s="10">
        <f>+G24*0.151</f>
        <v>0.357719</v>
      </c>
      <c r="I24" s="10">
        <v>2.49</v>
      </c>
      <c r="J24" s="10">
        <f>+I24*0.151</f>
        <v>0.37599000000000005</v>
      </c>
      <c r="K24" s="10">
        <v>2.491</v>
      </c>
      <c r="L24" s="10">
        <f>+K24*0.151</f>
        <v>0.376141</v>
      </c>
      <c r="M24" s="10">
        <v>2.333</v>
      </c>
      <c r="N24" s="10">
        <f>+M24*0.151</f>
        <v>0.352283</v>
      </c>
      <c r="O24" s="10">
        <v>2.466</v>
      </c>
      <c r="P24" s="10">
        <f>+O24*0.151</f>
        <v>0.37236600000000003</v>
      </c>
      <c r="Q24" s="10">
        <f>+O24+M24+K24+I24+G24+E24+C24+0.001</f>
        <v>12.15</v>
      </c>
      <c r="R24" s="10">
        <f>+P24+N24+L24+J24+H24+F24+D24+0.002</f>
        <v>1.836499</v>
      </c>
    </row>
    <row r="25" spans="1:18" ht="21">
      <c r="A25" s="52">
        <v>12</v>
      </c>
      <c r="B25" s="8" t="s">
        <v>31</v>
      </c>
      <c r="C25" s="25">
        <v>0</v>
      </c>
      <c r="D25" s="25">
        <v>0</v>
      </c>
      <c r="E25" s="25">
        <v>2.76</v>
      </c>
      <c r="F25" s="25">
        <v>0.417</v>
      </c>
      <c r="G25" s="10">
        <v>3.35</v>
      </c>
      <c r="H25" s="10">
        <v>0.31</v>
      </c>
      <c r="I25" s="10">
        <v>3.339</v>
      </c>
      <c r="J25" s="10">
        <f>+I25*0.119</f>
        <v>0.397341</v>
      </c>
      <c r="K25" s="10">
        <v>3.343</v>
      </c>
      <c r="L25" s="10">
        <f>+K25*0.119</f>
        <v>0.397817</v>
      </c>
      <c r="M25" s="10">
        <v>4.137</v>
      </c>
      <c r="N25" s="10">
        <f>+M25*0.119</f>
        <v>0.49230299999999994</v>
      </c>
      <c r="O25" s="10">
        <v>6.47</v>
      </c>
      <c r="P25" s="10">
        <f>+O25*0.119</f>
        <v>0.7699299999999999</v>
      </c>
      <c r="Q25" s="10">
        <f>+O25+M25+K25+I25+G25+E25+C25</f>
        <v>23.399</v>
      </c>
      <c r="R25" s="10">
        <f>+P25+N25+L25+J25+H25+F25+D25</f>
        <v>2.7843909999999994</v>
      </c>
    </row>
    <row r="26" spans="1:19" s="5" customFormat="1" ht="21">
      <c r="A26" s="52">
        <v>13</v>
      </c>
      <c r="B26" s="8" t="s">
        <v>32</v>
      </c>
      <c r="C26" s="26">
        <v>0</v>
      </c>
      <c r="D26" s="25">
        <v>0</v>
      </c>
      <c r="E26" s="25">
        <f>11.662-0.34</f>
        <v>11.322000000000001</v>
      </c>
      <c r="F26" s="25">
        <v>0</v>
      </c>
      <c r="G26" s="10">
        <f>18.67+0.34</f>
        <v>19.01</v>
      </c>
      <c r="H26" s="10">
        <v>0</v>
      </c>
      <c r="I26" s="10">
        <v>0.75</v>
      </c>
      <c r="J26" s="10">
        <v>0</v>
      </c>
      <c r="K26" s="10">
        <v>15.75</v>
      </c>
      <c r="L26" s="10">
        <v>0</v>
      </c>
      <c r="M26" s="10">
        <v>15.75</v>
      </c>
      <c r="N26" s="10">
        <v>0</v>
      </c>
      <c r="O26" s="10">
        <v>15.75</v>
      </c>
      <c r="P26" s="10">
        <v>0</v>
      </c>
      <c r="Q26" s="10">
        <f>O26+M26+K26+I26+G26+E26+C26</f>
        <v>78.33200000000001</v>
      </c>
      <c r="R26" s="10">
        <f>P26+N26+L26+J26+H26+F26+D26</f>
        <v>0</v>
      </c>
      <c r="S26" s="11"/>
    </row>
    <row r="27" spans="1:21" s="5" customFormat="1" ht="12.75">
      <c r="A27" s="52"/>
      <c r="B27" s="8" t="s">
        <v>5</v>
      </c>
      <c r="C27" s="26">
        <v>31.308</v>
      </c>
      <c r="D27" s="25">
        <v>0</v>
      </c>
      <c r="E27" s="25">
        <f>0.614+1.408</f>
        <v>2.022</v>
      </c>
      <c r="F27" s="25">
        <v>0</v>
      </c>
      <c r="G27" s="10">
        <f>0.886-0.886</f>
        <v>0</v>
      </c>
      <c r="H27" s="10">
        <v>0</v>
      </c>
      <c r="I27" s="10">
        <f>15-0.522</f>
        <v>14.478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f>O27+M27+K27+I27+G27+E27+C27</f>
        <v>47.808</v>
      </c>
      <c r="R27" s="10">
        <f>P27+N27+L27+J27+H27+F27+D27</f>
        <v>0</v>
      </c>
      <c r="S27" s="11"/>
      <c r="T27" s="11"/>
      <c r="U27" s="11"/>
    </row>
    <row r="28" spans="1:18" ht="31.5">
      <c r="A28" s="52">
        <v>14</v>
      </c>
      <c r="B28" s="8" t="s">
        <v>33</v>
      </c>
      <c r="C28" s="25">
        <v>0</v>
      </c>
      <c r="D28" s="25">
        <v>0</v>
      </c>
      <c r="E28" s="25">
        <f>4.147-0.201</f>
        <v>3.946</v>
      </c>
      <c r="F28" s="25">
        <v>0</v>
      </c>
      <c r="G28" s="10">
        <f>4.487+0.201</f>
        <v>4.688</v>
      </c>
      <c r="H28" s="10">
        <v>0</v>
      </c>
      <c r="I28" s="10">
        <v>5.434</v>
      </c>
      <c r="J28" s="10">
        <v>0</v>
      </c>
      <c r="K28" s="10">
        <v>5.432</v>
      </c>
      <c r="L28" s="10">
        <v>0</v>
      </c>
      <c r="M28" s="10">
        <v>5.442</v>
      </c>
      <c r="N28" s="10">
        <v>0</v>
      </c>
      <c r="O28" s="10">
        <v>5.418</v>
      </c>
      <c r="P28" s="10">
        <v>0</v>
      </c>
      <c r="Q28" s="10">
        <f>SUM(C28+E28+G28+I28+K28+M28+O28)</f>
        <v>30.36</v>
      </c>
      <c r="R28" s="10">
        <f>SUM(D28+F28+H28+J28+L28+N28+P28)</f>
        <v>0</v>
      </c>
    </row>
    <row r="29" spans="1:18" ht="52.5">
      <c r="A29" s="52" t="s">
        <v>8</v>
      </c>
      <c r="B29" s="8" t="s">
        <v>34</v>
      </c>
      <c r="C29" s="25">
        <v>0</v>
      </c>
      <c r="D29" s="25">
        <v>0</v>
      </c>
      <c r="E29" s="25">
        <v>0</v>
      </c>
      <c r="F29" s="25">
        <v>0</v>
      </c>
      <c r="G29" s="10">
        <v>0</v>
      </c>
      <c r="H29" s="10">
        <f>+G29*0.095</f>
        <v>0</v>
      </c>
      <c r="I29" s="10">
        <v>0</v>
      </c>
      <c r="J29" s="10">
        <f>+I29*0.095</f>
        <v>0</v>
      </c>
      <c r="K29" s="10">
        <v>0</v>
      </c>
      <c r="L29" s="10">
        <f>+K29*0.095</f>
        <v>0</v>
      </c>
      <c r="M29" s="10">
        <v>0</v>
      </c>
      <c r="N29" s="10">
        <f>+M29*0.095</f>
        <v>0</v>
      </c>
      <c r="O29" s="10">
        <v>0</v>
      </c>
      <c r="P29" s="10">
        <f>+O29*0.095</f>
        <v>0</v>
      </c>
      <c r="Q29" s="10">
        <f>+O29+M29+K29+I29+G29+E29+C29</f>
        <v>0</v>
      </c>
      <c r="R29" s="10">
        <f>+P29+N29+L29+J29+H29+F29+D29</f>
        <v>0</v>
      </c>
    </row>
    <row r="30" spans="1:20" ht="52.5">
      <c r="A30" s="52" t="s">
        <v>36</v>
      </c>
      <c r="B30" s="8" t="s">
        <v>35</v>
      </c>
      <c r="C30" s="25">
        <f>SUM(C31:C32)</f>
        <v>0</v>
      </c>
      <c r="D30" s="25">
        <f aca="true" t="shared" si="4" ref="D30:P30">SUM(D31:D32)</f>
        <v>0</v>
      </c>
      <c r="E30" s="25">
        <f t="shared" si="4"/>
        <v>2.908</v>
      </c>
      <c r="F30" s="25">
        <f t="shared" si="4"/>
        <v>0.20937599999999998</v>
      </c>
      <c r="G30" s="10">
        <f t="shared" si="4"/>
        <v>5.430985071566256</v>
      </c>
      <c r="H30" s="10">
        <f t="shared" si="4"/>
        <v>0.5663495069515647</v>
      </c>
      <c r="I30" s="10">
        <f t="shared" si="4"/>
        <v>4.89160759545585</v>
      </c>
      <c r="J30" s="10">
        <f t="shared" si="4"/>
        <v>0.5295727469138334</v>
      </c>
      <c r="K30" s="10">
        <f t="shared" si="4"/>
        <v>5.3484929664110235</v>
      </c>
      <c r="L30" s="10">
        <f t="shared" si="4"/>
        <v>0.5789940437189844</v>
      </c>
      <c r="M30" s="10">
        <f t="shared" si="4"/>
        <v>6.463460935897961</v>
      </c>
      <c r="N30" s="10">
        <f t="shared" si="4"/>
        <v>0.6999018929582086</v>
      </c>
      <c r="O30" s="10">
        <f t="shared" si="4"/>
        <v>9.025691752450477</v>
      </c>
      <c r="P30" s="10">
        <f t="shared" si="4"/>
        <v>1.1024894546200223</v>
      </c>
      <c r="Q30" s="10">
        <f aca="true" t="shared" si="5" ref="Q30:R32">+O30+M30+K30+I30+G30+E30+C30</f>
        <v>34.06823832178157</v>
      </c>
      <c r="R30" s="10">
        <f t="shared" si="5"/>
        <v>3.6866836451626135</v>
      </c>
      <c r="T30" s="14"/>
    </row>
    <row r="31" spans="1:18" s="5" customFormat="1" ht="42">
      <c r="A31" s="52" t="s">
        <v>9</v>
      </c>
      <c r="B31" s="8" t="s">
        <v>38</v>
      </c>
      <c r="C31" s="25"/>
      <c r="D31" s="25"/>
      <c r="E31" s="25">
        <v>0</v>
      </c>
      <c r="F31" s="25">
        <f>+E31*0.166</f>
        <v>0</v>
      </c>
      <c r="G31" s="10">
        <f>13.068*3.463/24.383+1.047-1.047</f>
        <v>1.8559850715662554</v>
      </c>
      <c r="H31" s="10">
        <f>+G31*0.167-0.001</f>
        <v>0.30894950695156465</v>
      </c>
      <c r="I31" s="10">
        <f>13.068*3.501/24.383</f>
        <v>1.876351064266087</v>
      </c>
      <c r="J31" s="10">
        <f>+I31*0.166+0.001</f>
        <v>0.31247427666817046</v>
      </c>
      <c r="K31" s="10">
        <f>13.068*3.828/24.383</f>
        <v>2.051605790919903</v>
      </c>
      <c r="L31" s="10">
        <f>+K31*0.167-0.001</f>
        <v>0.3416181670836238</v>
      </c>
      <c r="M31" s="10">
        <f>13.068*4.626/24.383</f>
        <v>2.479291637616372</v>
      </c>
      <c r="N31" s="10">
        <f>+M31*0.167-0.001</f>
        <v>0.41304170348193414</v>
      </c>
      <c r="O31" s="10">
        <f>13.068*4.901/24.383+1.047+1.131</f>
        <v>4.804677111101998</v>
      </c>
      <c r="P31" s="10">
        <f>+O31*0.166+0.001</f>
        <v>0.7985764004429317</v>
      </c>
      <c r="Q31" s="10">
        <f t="shared" si="5"/>
        <v>13.067910675470616</v>
      </c>
      <c r="R31" s="10">
        <f t="shared" si="5"/>
        <v>2.174660054628225</v>
      </c>
    </row>
    <row r="32" spans="1:18" s="5" customFormat="1" ht="21">
      <c r="A32" s="52" t="s">
        <v>10</v>
      </c>
      <c r="B32" s="8" t="s">
        <v>37</v>
      </c>
      <c r="C32" s="25"/>
      <c r="D32" s="25"/>
      <c r="E32" s="25">
        <v>2.908</v>
      </c>
      <c r="F32" s="25">
        <f>+E32*0.072</f>
        <v>0.20937599999999998</v>
      </c>
      <c r="G32" s="10">
        <v>3.575</v>
      </c>
      <c r="H32" s="10">
        <f>+G32*0.072</f>
        <v>0.2574</v>
      </c>
      <c r="I32" s="10">
        <f>21*3.501/24.383</f>
        <v>3.0152565311897637</v>
      </c>
      <c r="J32" s="10">
        <f>+I32*0.072</f>
        <v>0.21709847024566298</v>
      </c>
      <c r="K32" s="10">
        <f>21*3.828/24.383</f>
        <v>3.2968871754911206</v>
      </c>
      <c r="L32" s="10">
        <f>+K32*0.072</f>
        <v>0.23737587663536067</v>
      </c>
      <c r="M32" s="10">
        <f>21*4.626/24.383</f>
        <v>3.9841692982815897</v>
      </c>
      <c r="N32" s="10">
        <f>+M32*0.072</f>
        <v>0.28686018947627445</v>
      </c>
      <c r="O32" s="10">
        <f>21*4.901/24.383</f>
        <v>4.22101464134848</v>
      </c>
      <c r="P32" s="10">
        <f>+O32*0.072</f>
        <v>0.3039130541770906</v>
      </c>
      <c r="Q32" s="10">
        <f t="shared" si="5"/>
        <v>21.000327646310954</v>
      </c>
      <c r="R32" s="10">
        <f t="shared" si="5"/>
        <v>1.5120235905343888</v>
      </c>
    </row>
    <row r="33" spans="1:18" s="4" customFormat="1" ht="12.75">
      <c r="A33" s="9"/>
      <c r="B33" s="15" t="s">
        <v>4</v>
      </c>
      <c r="C33" s="25">
        <f>SUM(C30+C29+C28+C27+C26+C25+C24+C23+C22+C21+C20+C19+C18+C15+C12+C11+C10+C9+C8)</f>
        <v>31.308</v>
      </c>
      <c r="D33" s="25">
        <f>SUM(D30+D29+D28+D27+D26+D25+D24+D23+D22+D21+D20+D19+D18+D15+D12+D11+D10+D9+D8)</f>
        <v>0</v>
      </c>
      <c r="E33" s="25">
        <f>SUM(E30+E29+E28+E27+E26+E25+E24+E23+E22+E21+E20+E19+E18+E15+E12+E11+E10+E9+E8)</f>
        <v>43.736</v>
      </c>
      <c r="F33" s="25">
        <f>+F32+F31+F29+F28+F27+F26+F25+F24+F23+F22+F21+F20+F19+F18+F17+F16+F14+F13+F11+F10+F9+F8</f>
        <v>2.3430009999999997</v>
      </c>
      <c r="G33" s="13">
        <f>SUM(G30+G29+G28+G27+G26+G25+G24+G23+G22+G21+G20+G19+G18+G15+G12+G11+G10+G9+G8)</f>
        <v>60.12198507156626</v>
      </c>
      <c r="H33" s="13">
        <f>+H32+H31+H29+H28+H27+H26+H25+H24+H23+H22+H21+H20+H19+H18+H17+H16+H14+H13+H11+H10+H9+H8</f>
        <v>3.4598585069515653</v>
      </c>
      <c r="I33" s="13">
        <f>SUM(I30+I29+I28+I27+I26+I25+I24+I23+I22+I21+I20+I19+I18+I15+I12+I11+I10+I9+I8)-0.002</f>
        <v>53.56960759545585</v>
      </c>
      <c r="J33" s="13">
        <f>+J32+J31+J29+J28+J27+J26+J25+J24+J23+J22+J21+J20+J19+J18+J17+J16+J14+J13+J11+J10+J9+J8-0.002</f>
        <v>3.2674737469138337</v>
      </c>
      <c r="K33" s="13">
        <f>SUM(K30+K29+K28+K27+K26+K25+K24+K23+K22+K21+K20+K19+K18+K15+K12+K11+K10+K9+K8)</f>
        <v>56.44349296641103</v>
      </c>
      <c r="L33" s="13">
        <f>SUM(L30+L29+L28+L27+L26+L25+L24+L23+L22+L21+L20+L19+L18+L15+L12+L11+L10+L9+L8)-0.002</f>
        <v>3.4993220437189847</v>
      </c>
      <c r="M33" s="13">
        <f>SUM(M30+M29+M28+M27+M26+M25+M24+M23+M22+M21+M20+M19+M18+M15+M12+M11+M10+M9+M8)-0.001</f>
        <v>59.11946093589797</v>
      </c>
      <c r="N33" s="13">
        <f>SUM(N30+N29+N28+N27+N26+N25+N24+N23+N22+N21+N20+N19+N18+N15+N12+N11+N10+N9+N8)+0.001</f>
        <v>3.7621378929582088</v>
      </c>
      <c r="O33" s="13">
        <f>SUM(O30+O29+O28+O27+O26+O25+O24+O23+O22+O21+O20+O19+O18+O15+O12+O11+O10+O9+O8)</f>
        <v>60.53969175245047</v>
      </c>
      <c r="P33" s="13">
        <f>SUM(P30+P29+P28+P27+P26+P25+P24+P23+P22+P21+P20+P19+P18+P15+P12+P11+P10+P9+P8)</f>
        <v>4.218975454620023</v>
      </c>
      <c r="Q33" s="13">
        <f>SUM(C33+E33+G33+I33+K33+M33+O33)</f>
        <v>364.8382383217816</v>
      </c>
      <c r="R33" s="13">
        <f>SUM(D33+F33+H33+J33+L33+N33+P33)-0.001</f>
        <v>20.549768645162615</v>
      </c>
    </row>
    <row r="34" spans="2:18" ht="12.75">
      <c r="B34" s="3"/>
      <c r="C34" s="23"/>
      <c r="D34" s="23"/>
      <c r="E34" s="20"/>
      <c r="F34" s="33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</row>
    <row r="36" ht="12.75">
      <c r="B36" s="7"/>
    </row>
  </sheetData>
  <mergeCells count="16">
    <mergeCell ref="C5:D5"/>
    <mergeCell ref="E5:F5"/>
    <mergeCell ref="G5:H5"/>
    <mergeCell ref="I5:J5"/>
    <mergeCell ref="K5:L5"/>
    <mergeCell ref="M5:N5"/>
    <mergeCell ref="O5:P5"/>
    <mergeCell ref="Q5:R5"/>
    <mergeCell ref="C6:D6"/>
    <mergeCell ref="E6:F6"/>
    <mergeCell ref="G6:H6"/>
    <mergeCell ref="I6:J6"/>
    <mergeCell ref="K6:L6"/>
    <mergeCell ref="M6:N6"/>
    <mergeCell ref="O6:P6"/>
    <mergeCell ref="Q6:R6"/>
  </mergeCells>
  <printOptions horizontalCentered="1" verticalCentered="1"/>
  <pageMargins left="0.15748031496062992" right="0.1968503937007874" top="0.3937007874015748" bottom="0.3937007874015748" header="0.2362204724409449" footer="0.2362204724409449"/>
  <pageSetup fitToHeight="1" fitToWidth="1" horizontalDpi="600" verticalDpi="600" orientation="landscape" paperSize="9" scale="61" r:id="rId1"/>
  <headerFooter alignWithMargins="0">
    <oddHeader>&amp;CPSR 2000-2006</oddHeader>
    <oddFooter>&amp;C&amp;"Arial Narrow,Normale"&amp;10&amp;F&amp;R&amp;A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4">
    <pageSetUpPr fitToPage="1"/>
  </sheetPr>
  <dimension ref="A1:AN36"/>
  <sheetViews>
    <sheetView showGridLines="0" showZeros="0" workbookViewId="0" topLeftCell="I5">
      <pane ySplit="3" topLeftCell="BM31" activePane="bottomLeft" state="frozen"/>
      <selection pane="topLeft" activeCell="J45" sqref="J45"/>
      <selection pane="bottomLeft" activeCell="I41" sqref="I41"/>
    </sheetView>
  </sheetViews>
  <sheetFormatPr defaultColWidth="9.140625" defaultRowHeight="12"/>
  <cols>
    <col min="1" max="1" width="6.8515625" style="1" customWidth="1"/>
    <col min="2" max="2" width="30.00390625" style="1" customWidth="1"/>
    <col min="3" max="4" width="10.7109375" style="22" customWidth="1"/>
    <col min="5" max="5" width="10.00390625" style="5" customWidth="1"/>
    <col min="6" max="6" width="11.140625" style="19" customWidth="1"/>
    <col min="7" max="18" width="10.00390625" style="5" customWidth="1"/>
    <col min="19" max="40" width="9.140625" style="5" customWidth="1"/>
    <col min="41" max="16384" width="9.140625" style="1" customWidth="1"/>
  </cols>
  <sheetData>
    <row r="1" ht="12.75">
      <c r="A1" s="4" t="s">
        <v>46</v>
      </c>
    </row>
    <row r="2" ht="12.75">
      <c r="A2" s="4"/>
    </row>
    <row r="3" ht="12.75">
      <c r="A3" s="58" t="s">
        <v>50</v>
      </c>
    </row>
    <row r="5" spans="1:40" s="35" customFormat="1" ht="12.75">
      <c r="A5" s="49"/>
      <c r="B5" s="50"/>
      <c r="C5" s="68" t="s">
        <v>6</v>
      </c>
      <c r="D5" s="68"/>
      <c r="E5" s="69" t="s">
        <v>6</v>
      </c>
      <c r="F5" s="68"/>
      <c r="G5" s="65" t="s">
        <v>6</v>
      </c>
      <c r="H5" s="66"/>
      <c r="I5" s="65" t="s">
        <v>6</v>
      </c>
      <c r="J5" s="66"/>
      <c r="K5" s="65" t="s">
        <v>6</v>
      </c>
      <c r="L5" s="66"/>
      <c r="M5" s="65" t="s">
        <v>6</v>
      </c>
      <c r="N5" s="66"/>
      <c r="O5" s="65" t="s">
        <v>6</v>
      </c>
      <c r="P5" s="67"/>
      <c r="Q5" s="66" t="s">
        <v>1</v>
      </c>
      <c r="R5" s="67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</row>
    <row r="6" spans="1:40" s="2" customFormat="1" ht="12.75">
      <c r="A6" s="45"/>
      <c r="B6" s="46" t="s">
        <v>0</v>
      </c>
      <c r="C6" s="62">
        <v>2000</v>
      </c>
      <c r="D6" s="62"/>
      <c r="E6" s="63">
        <v>2001</v>
      </c>
      <c r="F6" s="64"/>
      <c r="G6" s="59">
        <v>2002</v>
      </c>
      <c r="H6" s="59"/>
      <c r="I6" s="60">
        <v>2003</v>
      </c>
      <c r="J6" s="61"/>
      <c r="K6" s="59">
        <v>2004</v>
      </c>
      <c r="L6" s="59"/>
      <c r="M6" s="60">
        <v>2005</v>
      </c>
      <c r="N6" s="61"/>
      <c r="O6" s="60">
        <v>2006</v>
      </c>
      <c r="P6" s="61"/>
      <c r="Q6" s="70"/>
      <c r="R6" s="71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</row>
    <row r="7" spans="1:18" ht="25.5">
      <c r="A7" s="47"/>
      <c r="B7" s="48"/>
      <c r="C7" s="24" t="s">
        <v>2</v>
      </c>
      <c r="D7" s="24" t="s">
        <v>43</v>
      </c>
      <c r="E7" s="24" t="s">
        <v>2</v>
      </c>
      <c r="F7" s="24" t="s">
        <v>43</v>
      </c>
      <c r="G7" s="51" t="s">
        <v>2</v>
      </c>
      <c r="H7" s="51" t="s">
        <v>43</v>
      </c>
      <c r="I7" s="51" t="s">
        <v>2</v>
      </c>
      <c r="J7" s="51" t="s">
        <v>43</v>
      </c>
      <c r="K7" s="51" t="s">
        <v>2</v>
      </c>
      <c r="L7" s="51" t="s">
        <v>43</v>
      </c>
      <c r="M7" s="51" t="s">
        <v>2</v>
      </c>
      <c r="N7" s="51" t="s">
        <v>43</v>
      </c>
      <c r="O7" s="51" t="s">
        <v>2</v>
      </c>
      <c r="P7" s="51" t="s">
        <v>43</v>
      </c>
      <c r="Q7" s="51" t="s">
        <v>2</v>
      </c>
      <c r="R7" s="51" t="s">
        <v>43</v>
      </c>
    </row>
    <row r="8" spans="1:19" s="5" customFormat="1" ht="21">
      <c r="A8" s="52">
        <v>1</v>
      </c>
      <c r="B8" s="8" t="s">
        <v>14</v>
      </c>
      <c r="C8" s="25">
        <v>0</v>
      </c>
      <c r="D8" s="25">
        <v>0</v>
      </c>
      <c r="E8" s="25">
        <f>4.366-0.057</f>
        <v>4.308999999999999</v>
      </c>
      <c r="F8" s="25">
        <f>0.962-0.013</f>
        <v>0.949</v>
      </c>
      <c r="G8" s="10">
        <f>6.537+0.057</f>
        <v>6.594</v>
      </c>
      <c r="H8" s="10">
        <f>1.328+0.013</f>
        <v>1.341</v>
      </c>
      <c r="I8" s="10">
        <f>7.235-1</f>
        <v>6.235</v>
      </c>
      <c r="J8" s="10">
        <f>+I8*0.21</f>
        <v>1.30935</v>
      </c>
      <c r="K8" s="10">
        <f>9.905-1</f>
        <v>8.905</v>
      </c>
      <c r="L8" s="10">
        <f>+K8*0.21</f>
        <v>1.8700499999999998</v>
      </c>
      <c r="M8" s="10">
        <f>9.859-1</f>
        <v>8.859</v>
      </c>
      <c r="N8" s="10">
        <f>+M8*0.21</f>
        <v>1.86039</v>
      </c>
      <c r="O8" s="10">
        <f>10.098-1</f>
        <v>9.098</v>
      </c>
      <c r="P8" s="10">
        <f>+O8*0.21</f>
        <v>1.9105800000000002</v>
      </c>
      <c r="Q8" s="10">
        <f aca="true" t="shared" si="0" ref="Q8:R11">+O8+M8+K8+I8+G8+E8+C8</f>
        <v>44</v>
      </c>
      <c r="R8" s="10">
        <f t="shared" si="0"/>
        <v>9.24037</v>
      </c>
      <c r="S8" s="11"/>
    </row>
    <row r="9" spans="1:18" ht="21">
      <c r="A9" s="52">
        <v>2</v>
      </c>
      <c r="B9" s="8" t="s">
        <v>15</v>
      </c>
      <c r="C9" s="25">
        <v>0</v>
      </c>
      <c r="D9" s="25">
        <v>0</v>
      </c>
      <c r="E9" s="25">
        <v>0.575</v>
      </c>
      <c r="F9" s="25">
        <f>+E9*0.35</f>
        <v>0.20124999999999998</v>
      </c>
      <c r="G9" s="10">
        <v>1.731</v>
      </c>
      <c r="H9" s="10">
        <f>+G9*0.35</f>
        <v>0.60585</v>
      </c>
      <c r="I9" s="10">
        <v>0.886</v>
      </c>
      <c r="J9" s="10">
        <f>+I9*0.35</f>
        <v>0.3101</v>
      </c>
      <c r="K9" s="10">
        <v>0.886</v>
      </c>
      <c r="L9" s="10">
        <f>+K9*0.35</f>
        <v>0.3101</v>
      </c>
      <c r="M9" s="10">
        <v>0.886</v>
      </c>
      <c r="N9" s="10">
        <f>+M9*0.35</f>
        <v>0.3101</v>
      </c>
      <c r="O9" s="10">
        <v>0.888</v>
      </c>
      <c r="P9" s="10">
        <f>+O9*0.35</f>
        <v>0.31079999999999997</v>
      </c>
      <c r="Q9" s="10">
        <f t="shared" si="0"/>
        <v>5.852</v>
      </c>
      <c r="R9" s="10">
        <f t="shared" si="0"/>
        <v>2.0482</v>
      </c>
    </row>
    <row r="10" spans="1:18" ht="12.75">
      <c r="A10" s="52">
        <v>3</v>
      </c>
      <c r="B10" s="8" t="s">
        <v>16</v>
      </c>
      <c r="C10" s="25">
        <v>0</v>
      </c>
      <c r="D10" s="25">
        <v>0</v>
      </c>
      <c r="E10" s="25">
        <v>0</v>
      </c>
      <c r="F10" s="25">
        <v>0</v>
      </c>
      <c r="G10" s="10">
        <v>0</v>
      </c>
      <c r="H10" s="10">
        <f>+G10*0.5</f>
        <v>0</v>
      </c>
      <c r="I10" s="10">
        <v>0</v>
      </c>
      <c r="J10" s="10">
        <f>+I10*0.5</f>
        <v>0</v>
      </c>
      <c r="K10" s="10">
        <v>0</v>
      </c>
      <c r="L10" s="10">
        <f>+K10*0.5</f>
        <v>0</v>
      </c>
      <c r="M10" s="10">
        <v>0</v>
      </c>
      <c r="N10" s="10">
        <f>+M10*0.5</f>
        <v>0</v>
      </c>
      <c r="O10" s="10">
        <v>0</v>
      </c>
      <c r="P10" s="10">
        <f>+O10*0.5</f>
        <v>0</v>
      </c>
      <c r="Q10" s="10">
        <f t="shared" si="0"/>
        <v>0</v>
      </c>
      <c r="R10" s="10">
        <f t="shared" si="0"/>
        <v>0</v>
      </c>
    </row>
    <row r="11" spans="1:18" ht="21">
      <c r="A11" s="52">
        <v>4</v>
      </c>
      <c r="B11" s="8" t="s">
        <v>17</v>
      </c>
      <c r="C11" s="25">
        <v>0</v>
      </c>
      <c r="D11" s="25">
        <v>0</v>
      </c>
      <c r="E11" s="25">
        <v>0</v>
      </c>
      <c r="F11" s="25">
        <f>+E11*0.375</f>
        <v>0</v>
      </c>
      <c r="G11" s="10">
        <v>0</v>
      </c>
      <c r="H11" s="10">
        <f>+G11*0.375</f>
        <v>0</v>
      </c>
      <c r="I11" s="10">
        <v>0</v>
      </c>
      <c r="J11" s="10">
        <f>+I11*0.375</f>
        <v>0</v>
      </c>
      <c r="K11" s="10">
        <v>0</v>
      </c>
      <c r="L11" s="10">
        <f>+K11*0.375</f>
        <v>0</v>
      </c>
      <c r="M11" s="10">
        <v>0</v>
      </c>
      <c r="N11" s="10">
        <f>+M11*0.375</f>
        <v>0</v>
      </c>
      <c r="O11" s="10">
        <v>0</v>
      </c>
      <c r="P11" s="10">
        <f>+O11*0.375</f>
        <v>0</v>
      </c>
      <c r="Q11" s="10">
        <f t="shared" si="0"/>
        <v>0</v>
      </c>
      <c r="R11" s="10">
        <f t="shared" si="0"/>
        <v>0</v>
      </c>
    </row>
    <row r="12" spans="1:19" s="5" customFormat="1" ht="42">
      <c r="A12" s="52" t="s">
        <v>21</v>
      </c>
      <c r="B12" s="8" t="s">
        <v>39</v>
      </c>
      <c r="C12" s="25">
        <v>0</v>
      </c>
      <c r="D12" s="25">
        <v>0</v>
      </c>
      <c r="E12" s="25">
        <f>SUM(E13:E14)</f>
        <v>1.778</v>
      </c>
      <c r="F12" s="25">
        <f aca="true" t="shared" si="1" ref="F12:P12">SUM(F13:F14)</f>
        <v>0.361</v>
      </c>
      <c r="G12" s="10">
        <f t="shared" si="1"/>
        <v>2.362</v>
      </c>
      <c r="H12" s="10">
        <f t="shared" si="1"/>
        <v>0.7779</v>
      </c>
      <c r="I12" s="10">
        <f t="shared" si="1"/>
        <v>3.153</v>
      </c>
      <c r="J12" s="10">
        <f t="shared" si="1"/>
        <v>0.8196300000000001</v>
      </c>
      <c r="K12" s="10">
        <f t="shared" si="1"/>
        <v>3.153</v>
      </c>
      <c r="L12" s="10">
        <f t="shared" si="1"/>
        <v>0.8196300000000001</v>
      </c>
      <c r="M12" s="10">
        <f t="shared" si="1"/>
        <v>2.947</v>
      </c>
      <c r="N12" s="10">
        <f t="shared" si="1"/>
        <v>0.77637</v>
      </c>
      <c r="O12" s="10">
        <f t="shared" si="1"/>
        <v>2.967</v>
      </c>
      <c r="P12" s="10">
        <f t="shared" si="1"/>
        <v>0.8260700000000001</v>
      </c>
      <c r="Q12" s="10">
        <f aca="true" t="shared" si="2" ref="Q12:R17">SUM(O12+M12+K12+I12+G12+E12)</f>
        <v>16.36</v>
      </c>
      <c r="R12" s="10">
        <f t="shared" si="2"/>
        <v>4.3806</v>
      </c>
      <c r="S12" s="11"/>
    </row>
    <row r="13" spans="1:18" s="5" customFormat="1" ht="16.5" customHeight="1">
      <c r="A13" s="52" t="s">
        <v>22</v>
      </c>
      <c r="B13" s="12" t="s">
        <v>24</v>
      </c>
      <c r="C13" s="25"/>
      <c r="D13" s="25"/>
      <c r="E13" s="25">
        <v>1.778</v>
      </c>
      <c r="F13" s="25">
        <v>0.361</v>
      </c>
      <c r="G13" s="10">
        <v>0.822</v>
      </c>
      <c r="H13" s="10">
        <v>0.185</v>
      </c>
      <c r="I13" s="10">
        <v>2.253</v>
      </c>
      <c r="J13" s="10">
        <f>+I13*0.21</f>
        <v>0.47313</v>
      </c>
      <c r="K13" s="10">
        <v>2.253</v>
      </c>
      <c r="L13" s="10">
        <f>+K13*0.21</f>
        <v>0.47313</v>
      </c>
      <c r="M13" s="10">
        <v>2.047</v>
      </c>
      <c r="N13" s="10">
        <f>+M13*0.21</f>
        <v>0.42987000000000003</v>
      </c>
      <c r="O13" s="10">
        <v>1.807</v>
      </c>
      <c r="P13" s="10">
        <f>+O13*0.21</f>
        <v>0.37947</v>
      </c>
      <c r="Q13" s="10">
        <f t="shared" si="2"/>
        <v>10.959999999999999</v>
      </c>
      <c r="R13" s="10">
        <f t="shared" si="2"/>
        <v>2.3016</v>
      </c>
    </row>
    <row r="14" spans="1:19" s="5" customFormat="1" ht="33.75">
      <c r="A14" s="52" t="s">
        <v>23</v>
      </c>
      <c r="B14" s="12" t="s">
        <v>40</v>
      </c>
      <c r="C14" s="25"/>
      <c r="D14" s="25"/>
      <c r="E14" s="25">
        <v>0</v>
      </c>
      <c r="F14" s="25">
        <v>0</v>
      </c>
      <c r="G14" s="10">
        <f>0.9+0.64</f>
        <v>1.54</v>
      </c>
      <c r="H14" s="10">
        <f>+G14*0.385</f>
        <v>0.5929</v>
      </c>
      <c r="I14" s="10">
        <f>0.9</f>
        <v>0.9</v>
      </c>
      <c r="J14" s="10">
        <f>+I14*0.385</f>
        <v>0.34650000000000003</v>
      </c>
      <c r="K14" s="10">
        <f>0.9</f>
        <v>0.9</v>
      </c>
      <c r="L14" s="10">
        <f>+K14*0.385</f>
        <v>0.34650000000000003</v>
      </c>
      <c r="M14" s="10">
        <f>0.9</f>
        <v>0.9</v>
      </c>
      <c r="N14" s="10">
        <f>+M14*0.385</f>
        <v>0.34650000000000003</v>
      </c>
      <c r="O14" s="10">
        <f>0.9+0.26</f>
        <v>1.1600000000000001</v>
      </c>
      <c r="P14" s="10">
        <f>+O14*0.385</f>
        <v>0.44660000000000005</v>
      </c>
      <c r="Q14" s="10">
        <f t="shared" si="2"/>
        <v>5.4</v>
      </c>
      <c r="R14" s="10">
        <f t="shared" si="2"/>
        <v>2.079</v>
      </c>
      <c r="S14" s="11"/>
    </row>
    <row r="15" spans="1:19" ht="52.5">
      <c r="A15" s="52" t="s">
        <v>11</v>
      </c>
      <c r="B15" s="8" t="s">
        <v>18</v>
      </c>
      <c r="C15" s="25">
        <v>0</v>
      </c>
      <c r="D15" s="25">
        <v>0</v>
      </c>
      <c r="E15" s="25">
        <f aca="true" t="shared" si="3" ref="E15:P15">SUM(E16:E17)</f>
        <v>0.125</v>
      </c>
      <c r="F15" s="25">
        <f t="shared" si="3"/>
        <v>0.031245000000000002</v>
      </c>
      <c r="G15" s="10">
        <f t="shared" si="3"/>
        <v>1.675</v>
      </c>
      <c r="H15" s="10">
        <f t="shared" si="3"/>
        <v>0.35818099999999997</v>
      </c>
      <c r="I15" s="10">
        <f t="shared" si="3"/>
        <v>0.9</v>
      </c>
      <c r="J15" s="10">
        <f t="shared" si="3"/>
        <v>0.19528333333333334</v>
      </c>
      <c r="K15" s="10">
        <f t="shared" si="3"/>
        <v>0.9</v>
      </c>
      <c r="L15" s="10">
        <f t="shared" si="3"/>
        <v>0.19428333333333334</v>
      </c>
      <c r="M15" s="10">
        <f t="shared" si="3"/>
        <v>0.9</v>
      </c>
      <c r="N15" s="10">
        <f t="shared" si="3"/>
        <v>0.19428333333333334</v>
      </c>
      <c r="O15" s="10">
        <f t="shared" si="3"/>
        <v>0.9</v>
      </c>
      <c r="P15" s="10">
        <f t="shared" si="3"/>
        <v>0.1982833333333333</v>
      </c>
      <c r="Q15" s="10">
        <f t="shared" si="2"/>
        <v>5.4</v>
      </c>
      <c r="R15" s="10">
        <f>SUM(P15+N15+L15+J15+H15+F15)+0.005</f>
        <v>1.1765593333333333</v>
      </c>
      <c r="S15" s="11"/>
    </row>
    <row r="16" spans="1:18" ht="45">
      <c r="A16" s="52" t="s">
        <v>12</v>
      </c>
      <c r="B16" s="12" t="s">
        <v>19</v>
      </c>
      <c r="C16" s="25"/>
      <c r="D16" s="25"/>
      <c r="E16" s="25">
        <v>0.08</v>
      </c>
      <c r="F16" s="25">
        <f>+E16*0.174</f>
        <v>0.01392</v>
      </c>
      <c r="G16" s="10">
        <v>1.354</v>
      </c>
      <c r="H16" s="10">
        <f>+G16*0.174-0.002</f>
        <v>0.233596</v>
      </c>
      <c r="I16" s="10">
        <f>0.9*4.3/5.4</f>
        <v>0.7166666666666667</v>
      </c>
      <c r="J16" s="10">
        <f>+I16*0.174</f>
        <v>0.12469999999999999</v>
      </c>
      <c r="K16" s="10">
        <f>0.9*4.3/5.4</f>
        <v>0.7166666666666667</v>
      </c>
      <c r="L16" s="10">
        <f>+K16*0.174-0.001</f>
        <v>0.12369999999999999</v>
      </c>
      <c r="M16" s="10">
        <f>0.9*4.3/5.4</f>
        <v>0.7166666666666667</v>
      </c>
      <c r="N16" s="10">
        <f>+M16*0.174-0.001</f>
        <v>0.12369999999999999</v>
      </c>
      <c r="O16" s="10">
        <f>0.9*4.3/5.4</f>
        <v>0.7166666666666667</v>
      </c>
      <c r="P16" s="10">
        <f>+O16*0.174+0.003</f>
        <v>0.12769999999999998</v>
      </c>
      <c r="Q16" s="10">
        <f>SUM(O16+M16+K16+I16+G16+E16)-0.001</f>
        <v>4.299666666666666</v>
      </c>
      <c r="R16" s="10">
        <f>SUM(P16+N16+L16+J16+H16+F16)+0.005</f>
        <v>0.752316</v>
      </c>
    </row>
    <row r="17" spans="1:18" ht="67.5">
      <c r="A17" s="52" t="s">
        <v>13</v>
      </c>
      <c r="B17" s="12" t="s">
        <v>20</v>
      </c>
      <c r="C17" s="25"/>
      <c r="D17" s="25"/>
      <c r="E17" s="25">
        <v>0.045</v>
      </c>
      <c r="F17" s="25">
        <f>+E17*0.385</f>
        <v>0.017325</v>
      </c>
      <c r="G17" s="10">
        <v>0.321</v>
      </c>
      <c r="H17" s="10">
        <f>+G17*0.385+0.001</f>
        <v>0.124585</v>
      </c>
      <c r="I17" s="10">
        <f>0.9*1.1/5.4</f>
        <v>0.18333333333333335</v>
      </c>
      <c r="J17" s="10">
        <f>+I17*0.385</f>
        <v>0.07058333333333335</v>
      </c>
      <c r="K17" s="10">
        <f>0.9*1.1/5.4</f>
        <v>0.18333333333333335</v>
      </c>
      <c r="L17" s="10">
        <f>+K17*0.385</f>
        <v>0.07058333333333335</v>
      </c>
      <c r="M17" s="10">
        <f>0.9*1.1/5.4</f>
        <v>0.18333333333333335</v>
      </c>
      <c r="N17" s="10">
        <f>+M17*0.385</f>
        <v>0.07058333333333335</v>
      </c>
      <c r="O17" s="10">
        <f>0.9*1.1/5.4</f>
        <v>0.18333333333333335</v>
      </c>
      <c r="P17" s="10">
        <f>+O17*0.385</f>
        <v>0.07058333333333335</v>
      </c>
      <c r="Q17" s="10">
        <f>SUM(O17+M17+K17+I17+G17+E17)+0.001</f>
        <v>1.1003333333333332</v>
      </c>
      <c r="R17" s="10">
        <f t="shared" si="2"/>
        <v>0.42424333333333336</v>
      </c>
    </row>
    <row r="18" spans="1:18" ht="31.5">
      <c r="A18" s="52"/>
      <c r="B18" s="8" t="s">
        <v>7</v>
      </c>
      <c r="C18" s="25">
        <v>0</v>
      </c>
      <c r="D18" s="25">
        <v>0</v>
      </c>
      <c r="E18" s="25">
        <f>0.642-0.642</f>
        <v>0</v>
      </c>
      <c r="F18" s="25">
        <f>+E18*0.5</f>
        <v>0</v>
      </c>
      <c r="G18" s="10">
        <f>0.358+0.642</f>
        <v>1</v>
      </c>
      <c r="H18" s="10">
        <f>+G18*0.5</f>
        <v>0.5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f aca="true" t="shared" si="4" ref="Q18:R21">+O18+M18+K18+I18+G18+E18+C18</f>
        <v>1</v>
      </c>
      <c r="R18" s="10">
        <f t="shared" si="4"/>
        <v>0.5</v>
      </c>
    </row>
    <row r="19" spans="1:18" ht="42">
      <c r="A19" s="52">
        <v>6</v>
      </c>
      <c r="B19" s="8" t="s">
        <v>25</v>
      </c>
      <c r="C19" s="25">
        <v>0</v>
      </c>
      <c r="D19" s="25">
        <v>0</v>
      </c>
      <c r="E19" s="25">
        <v>13.916</v>
      </c>
      <c r="F19" s="25">
        <f>+E19*0.175</f>
        <v>2.4353</v>
      </c>
      <c r="G19" s="10">
        <v>11.777</v>
      </c>
      <c r="H19" s="10">
        <f>+G19*0.175</f>
        <v>2.0609749999999996</v>
      </c>
      <c r="I19" s="10">
        <v>10.88</v>
      </c>
      <c r="J19" s="10">
        <f>+I19*0.175</f>
        <v>1.904</v>
      </c>
      <c r="K19" s="10">
        <v>10.1</v>
      </c>
      <c r="L19" s="10">
        <f>+K19*0.175</f>
        <v>1.7674999999999998</v>
      </c>
      <c r="M19" s="10">
        <v>11.1</v>
      </c>
      <c r="N19" s="10">
        <f>+M19*0.175</f>
        <v>1.9425</v>
      </c>
      <c r="O19" s="10">
        <v>7.06</v>
      </c>
      <c r="P19" s="10">
        <f>+O19*0.175</f>
        <v>1.2354999999999998</v>
      </c>
      <c r="Q19" s="10">
        <f t="shared" si="4"/>
        <v>64.833</v>
      </c>
      <c r="R19" s="10">
        <f t="shared" si="4"/>
        <v>11.345775</v>
      </c>
    </row>
    <row r="20" spans="1:18" ht="31.5">
      <c r="A20" s="52">
        <v>7</v>
      </c>
      <c r="B20" s="8" t="s">
        <v>26</v>
      </c>
      <c r="C20" s="25">
        <v>0</v>
      </c>
      <c r="D20" s="25">
        <v>0</v>
      </c>
      <c r="E20" s="25">
        <v>0</v>
      </c>
      <c r="F20" s="25">
        <v>0</v>
      </c>
      <c r="G20" s="10">
        <v>0</v>
      </c>
      <c r="H20" s="10">
        <f>+G20*0.353</f>
        <v>0</v>
      </c>
      <c r="I20" s="10">
        <v>0</v>
      </c>
      <c r="J20" s="10">
        <f>+I20*0.353</f>
        <v>0</v>
      </c>
      <c r="K20" s="10">
        <v>0</v>
      </c>
      <c r="L20" s="10">
        <f>+K20*0.353</f>
        <v>0</v>
      </c>
      <c r="M20" s="10">
        <v>0</v>
      </c>
      <c r="N20" s="10">
        <f>+M20*0.353</f>
        <v>0</v>
      </c>
      <c r="O20" s="10">
        <v>0</v>
      </c>
      <c r="P20" s="10">
        <f>+O20*0.353</f>
        <v>0</v>
      </c>
      <c r="Q20" s="10">
        <f t="shared" si="4"/>
        <v>0</v>
      </c>
      <c r="R20" s="10">
        <f t="shared" si="4"/>
        <v>0</v>
      </c>
    </row>
    <row r="21" spans="1:18" ht="12.75">
      <c r="A21" s="52">
        <v>8</v>
      </c>
      <c r="B21" s="8" t="s">
        <v>27</v>
      </c>
      <c r="C21" s="25">
        <v>0</v>
      </c>
      <c r="D21" s="25">
        <v>0</v>
      </c>
      <c r="E21" s="25">
        <v>0.075</v>
      </c>
      <c r="F21" s="25">
        <f>+E21*0.35</f>
        <v>0.02625</v>
      </c>
      <c r="G21" s="10">
        <v>0.135</v>
      </c>
      <c r="H21" s="10">
        <f>+G21*0.35</f>
        <v>0.04725</v>
      </c>
      <c r="I21" s="10">
        <v>0.135</v>
      </c>
      <c r="J21" s="10">
        <f>+I21*0.35</f>
        <v>0.04725</v>
      </c>
      <c r="K21" s="10">
        <v>0.135</v>
      </c>
      <c r="L21" s="10">
        <f>+K21*0.35</f>
        <v>0.04725</v>
      </c>
      <c r="M21" s="10">
        <v>0.135</v>
      </c>
      <c r="N21" s="10">
        <f>+M21*0.35</f>
        <v>0.04725</v>
      </c>
      <c r="O21" s="10">
        <v>0.135</v>
      </c>
      <c r="P21" s="10">
        <f>+O21*0.35</f>
        <v>0.04725</v>
      </c>
      <c r="Q21" s="10">
        <f t="shared" si="4"/>
        <v>0.75</v>
      </c>
      <c r="R21" s="10">
        <f t="shared" si="4"/>
        <v>0.2625</v>
      </c>
    </row>
    <row r="22" spans="1:18" ht="52.5">
      <c r="A22" s="52">
        <v>9</v>
      </c>
      <c r="B22" s="8" t="s">
        <v>28</v>
      </c>
      <c r="C22" s="25">
        <v>0</v>
      </c>
      <c r="D22" s="25">
        <v>0</v>
      </c>
      <c r="E22" s="25">
        <v>0</v>
      </c>
      <c r="F22" s="25">
        <v>0</v>
      </c>
      <c r="G22" s="10">
        <v>0</v>
      </c>
      <c r="H22" s="10">
        <f>+G22*0.221</f>
        <v>0</v>
      </c>
      <c r="I22" s="10">
        <v>0</v>
      </c>
      <c r="J22" s="10">
        <f>+I22*0.221</f>
        <v>0</v>
      </c>
      <c r="K22" s="10">
        <v>0</v>
      </c>
      <c r="L22" s="10">
        <f>+K22*0.221</f>
        <v>0</v>
      </c>
      <c r="M22" s="10">
        <v>0.168</v>
      </c>
      <c r="N22" s="10">
        <f>+M22*0.221</f>
        <v>0.037128</v>
      </c>
      <c r="O22" s="10">
        <v>0.362</v>
      </c>
      <c r="P22" s="10">
        <f>+O22*0.221</f>
        <v>0.080002</v>
      </c>
      <c r="Q22" s="10">
        <f>+O22+M22+K22+I22+G22+E22+C22</f>
        <v>0.53</v>
      </c>
      <c r="R22" s="10">
        <f>+P22+N22+L22+J22+H22+F22+D22-0.002</f>
        <v>0.11513000000000001</v>
      </c>
    </row>
    <row r="23" spans="1:18" ht="21">
      <c r="A23" s="52">
        <v>10</v>
      </c>
      <c r="B23" s="8" t="s">
        <v>29</v>
      </c>
      <c r="C23" s="25">
        <v>0</v>
      </c>
      <c r="D23" s="25">
        <v>0</v>
      </c>
      <c r="E23" s="25">
        <v>0</v>
      </c>
      <c r="F23" s="25">
        <v>0</v>
      </c>
      <c r="G23" s="10">
        <v>0</v>
      </c>
      <c r="H23" s="10">
        <f>+G23*0.353</f>
        <v>0</v>
      </c>
      <c r="I23" s="10">
        <v>0</v>
      </c>
      <c r="J23" s="10">
        <f>+I23*0.353</f>
        <v>0</v>
      </c>
      <c r="K23" s="10">
        <v>0</v>
      </c>
      <c r="L23" s="10">
        <f>+K23*0.353</f>
        <v>0</v>
      </c>
      <c r="M23" s="10">
        <v>0</v>
      </c>
      <c r="N23" s="10">
        <f>+M23*0.353</f>
        <v>0</v>
      </c>
      <c r="O23" s="10">
        <v>0</v>
      </c>
      <c r="P23" s="10">
        <f>+O23*0.353</f>
        <v>0</v>
      </c>
      <c r="Q23" s="10">
        <f>+O23+M23+K23+I23+G23+E23+C23</f>
        <v>0</v>
      </c>
      <c r="R23" s="10">
        <f>+P23+N23+L23+J23+H23+F23+D23</f>
        <v>0</v>
      </c>
    </row>
    <row r="24" spans="1:18" ht="31.5">
      <c r="A24" s="52">
        <v>11</v>
      </c>
      <c r="B24" s="8" t="s">
        <v>30</v>
      </c>
      <c r="C24" s="25">
        <v>0</v>
      </c>
      <c r="D24" s="25">
        <v>0</v>
      </c>
      <c r="E24" s="25">
        <v>0</v>
      </c>
      <c r="F24" s="25">
        <f>+E24*0.353</f>
        <v>0</v>
      </c>
      <c r="G24" s="10">
        <f>2.369</f>
        <v>2.369</v>
      </c>
      <c r="H24" s="10">
        <f>+G24*0.353-0.001</f>
        <v>0.835257</v>
      </c>
      <c r="I24" s="10">
        <v>2.49</v>
      </c>
      <c r="J24" s="10">
        <f>+I24*0.353-0.001</f>
        <v>0.87797</v>
      </c>
      <c r="K24" s="10">
        <v>2.491</v>
      </c>
      <c r="L24" s="10">
        <f>+K24*0.353</f>
        <v>0.879323</v>
      </c>
      <c r="M24" s="10">
        <v>2.333</v>
      </c>
      <c r="N24" s="10">
        <f>+M24*0.353-0.002</f>
        <v>0.821549</v>
      </c>
      <c r="O24" s="10">
        <v>2.466</v>
      </c>
      <c r="P24" s="10">
        <f>+O24*0.353-0.001</f>
        <v>0.869498</v>
      </c>
      <c r="Q24" s="10">
        <f>+O24+M24+K24+I24+G24+E24+C24+0.001</f>
        <v>12.15</v>
      </c>
      <c r="R24" s="10">
        <f>+P24+N24+L24+J24+H24+F24+D24</f>
        <v>4.283597</v>
      </c>
    </row>
    <row r="25" spans="1:18" ht="21">
      <c r="A25" s="52">
        <v>12</v>
      </c>
      <c r="B25" s="8" t="s">
        <v>31</v>
      </c>
      <c r="C25" s="25">
        <v>0</v>
      </c>
      <c r="D25" s="25">
        <v>0</v>
      </c>
      <c r="E25" s="25">
        <v>2.76</v>
      </c>
      <c r="F25" s="25">
        <v>0.974</v>
      </c>
      <c r="G25" s="10">
        <v>3.35</v>
      </c>
      <c r="H25" s="10">
        <v>0.722</v>
      </c>
      <c r="I25" s="10">
        <v>3.339</v>
      </c>
      <c r="J25" s="10">
        <f>+I25*0.278</f>
        <v>0.9282420000000001</v>
      </c>
      <c r="K25" s="10">
        <v>3.343</v>
      </c>
      <c r="L25" s="10">
        <f>+K25*0.278</f>
        <v>0.9293540000000001</v>
      </c>
      <c r="M25" s="10">
        <v>4.137</v>
      </c>
      <c r="N25" s="10">
        <f>+M25*0.278</f>
        <v>1.150086</v>
      </c>
      <c r="O25" s="10">
        <v>6.47</v>
      </c>
      <c r="P25" s="10">
        <f>+O25*0.278</f>
        <v>1.7986600000000001</v>
      </c>
      <c r="Q25" s="10">
        <f>+O25+M25+K25+I25+G25+E25+C25</f>
        <v>23.399</v>
      </c>
      <c r="R25" s="10">
        <f>+P25+N25+L25+J25+H25+F25+D25+0.003</f>
        <v>6.505342000000001</v>
      </c>
    </row>
    <row r="26" spans="1:19" ht="21">
      <c r="A26" s="52">
        <v>13</v>
      </c>
      <c r="B26" s="8" t="s">
        <v>32</v>
      </c>
      <c r="C26" s="26">
        <v>0</v>
      </c>
      <c r="D26" s="25">
        <v>0</v>
      </c>
      <c r="E26" s="25">
        <f>11.662-0.34</f>
        <v>11.322000000000001</v>
      </c>
      <c r="F26" s="25">
        <f>+E26*0.5</f>
        <v>5.6610000000000005</v>
      </c>
      <c r="G26" s="10">
        <f>18.67+0.34</f>
        <v>19.01</v>
      </c>
      <c r="H26" s="10">
        <f>+G26*0.5</f>
        <v>9.505</v>
      </c>
      <c r="I26" s="10">
        <v>0.75</v>
      </c>
      <c r="J26" s="10">
        <f>+I26*0.5</f>
        <v>0.375</v>
      </c>
      <c r="K26" s="10">
        <v>15.75</v>
      </c>
      <c r="L26" s="10">
        <f>+K26*0.5</f>
        <v>7.875</v>
      </c>
      <c r="M26" s="10">
        <v>15.75</v>
      </c>
      <c r="N26" s="10">
        <f>+M26*0.5</f>
        <v>7.875</v>
      </c>
      <c r="O26" s="10">
        <v>15.75</v>
      </c>
      <c r="P26" s="10">
        <f>+O26*0.5</f>
        <v>7.875</v>
      </c>
      <c r="Q26" s="10">
        <f>O26+M26+K26+I26+G26+E26+C26</f>
        <v>78.33200000000001</v>
      </c>
      <c r="R26" s="10">
        <f>P26+N26+L26+J26+H26+F26+D26</f>
        <v>39.166000000000004</v>
      </c>
      <c r="S26" s="11"/>
    </row>
    <row r="27" spans="1:21" ht="12.75">
      <c r="A27" s="52"/>
      <c r="B27" s="8" t="s">
        <v>5</v>
      </c>
      <c r="C27" s="26">
        <v>31.308</v>
      </c>
      <c r="D27" s="25">
        <f>+C27*0.5</f>
        <v>15.654</v>
      </c>
      <c r="E27" s="25">
        <f>0.614+1.408</f>
        <v>2.022</v>
      </c>
      <c r="F27" s="25">
        <f>+E27*0.5</f>
        <v>1.011</v>
      </c>
      <c r="G27" s="10">
        <f>0.886-0.886</f>
        <v>0</v>
      </c>
      <c r="H27" s="10">
        <f>+G27*0.5</f>
        <v>0</v>
      </c>
      <c r="I27" s="10">
        <f>15-0.522</f>
        <v>14.478</v>
      </c>
      <c r="J27" s="10">
        <f>+I27*0.5</f>
        <v>7.239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f>O27+M27+K27+I27+G27+E27+C27</f>
        <v>47.808</v>
      </c>
      <c r="R27" s="10">
        <f>P27+N27+L27+J27+H27+F27+D27</f>
        <v>23.904</v>
      </c>
      <c r="S27" s="11"/>
      <c r="T27" s="11"/>
      <c r="U27" s="11"/>
    </row>
    <row r="28" spans="1:18" ht="31.5">
      <c r="A28" s="52">
        <v>14</v>
      </c>
      <c r="B28" s="8" t="s">
        <v>33</v>
      </c>
      <c r="C28" s="25">
        <v>0</v>
      </c>
      <c r="D28" s="25">
        <v>0</v>
      </c>
      <c r="E28" s="25">
        <f>4.147-0.201</f>
        <v>3.946</v>
      </c>
      <c r="F28" s="25">
        <f>+E28*0.5</f>
        <v>1.973</v>
      </c>
      <c r="G28" s="10">
        <f>4.487+0.201</f>
        <v>4.688</v>
      </c>
      <c r="H28" s="10">
        <f>+G28*0.5-0.001</f>
        <v>2.343</v>
      </c>
      <c r="I28" s="10">
        <v>5.434</v>
      </c>
      <c r="J28" s="10">
        <f>+I28*0.5</f>
        <v>2.717</v>
      </c>
      <c r="K28" s="10">
        <v>5.432</v>
      </c>
      <c r="L28" s="10">
        <f>+K28*0.5</f>
        <v>2.716</v>
      </c>
      <c r="M28" s="10">
        <v>5.442</v>
      </c>
      <c r="N28" s="10">
        <f>+M28*0.5</f>
        <v>2.721</v>
      </c>
      <c r="O28" s="10">
        <v>5.418</v>
      </c>
      <c r="P28" s="10">
        <f>+O28*0.5</f>
        <v>2.709</v>
      </c>
      <c r="Q28" s="10">
        <f>SUM(C28+E28+G28+I28+K28+M28+O28)</f>
        <v>30.36</v>
      </c>
      <c r="R28" s="10">
        <f>SUM(D28+F28+H28+J28+L28+N28+P28)+0.001</f>
        <v>15.179999999999998</v>
      </c>
    </row>
    <row r="29" spans="1:18" ht="52.5">
      <c r="A29" s="52" t="s">
        <v>8</v>
      </c>
      <c r="B29" s="8" t="s">
        <v>34</v>
      </c>
      <c r="C29" s="25">
        <v>0</v>
      </c>
      <c r="D29" s="25">
        <v>0</v>
      </c>
      <c r="E29" s="25">
        <v>0</v>
      </c>
      <c r="F29" s="25">
        <v>0</v>
      </c>
      <c r="G29" s="10">
        <v>0</v>
      </c>
      <c r="H29" s="10">
        <f>+G29*0.221</f>
        <v>0</v>
      </c>
      <c r="I29" s="10">
        <v>0</v>
      </c>
      <c r="J29" s="10">
        <f>+I29*0.221</f>
        <v>0</v>
      </c>
      <c r="K29" s="10">
        <v>0</v>
      </c>
      <c r="L29" s="10">
        <f>+K29*0.221</f>
        <v>0</v>
      </c>
      <c r="M29" s="10">
        <v>0</v>
      </c>
      <c r="N29" s="10">
        <f>+M29*0.221</f>
        <v>0</v>
      </c>
      <c r="O29" s="10">
        <v>0</v>
      </c>
      <c r="P29" s="10">
        <f>+O29*0.221</f>
        <v>0</v>
      </c>
      <c r="Q29" s="10">
        <f>+O29+M29+K29+I29+G29+E29+C29</f>
        <v>0</v>
      </c>
      <c r="R29" s="10">
        <f>+P29+N29+L29+J29+H29+F29+D29</f>
        <v>0</v>
      </c>
    </row>
    <row r="30" spans="1:20" ht="52.5">
      <c r="A30" s="52" t="s">
        <v>36</v>
      </c>
      <c r="B30" s="8" t="s">
        <v>35</v>
      </c>
      <c r="C30" s="25">
        <f>SUM(C31:C32)</f>
        <v>0</v>
      </c>
      <c r="D30" s="25">
        <f aca="true" t="shared" si="5" ref="D30:P30">SUM(D31:D32)</f>
        <v>0</v>
      </c>
      <c r="E30" s="25">
        <f t="shared" si="5"/>
        <v>2.908</v>
      </c>
      <c r="F30" s="25">
        <f t="shared" si="5"/>
        <v>0.48854400000000003</v>
      </c>
      <c r="G30" s="10">
        <f t="shared" si="5"/>
        <v>5.430985071566256</v>
      </c>
      <c r="H30" s="10">
        <f t="shared" si="5"/>
        <v>1.321722207767707</v>
      </c>
      <c r="I30" s="10">
        <f t="shared" si="5"/>
        <v>4.89160759545585</v>
      </c>
      <c r="J30" s="10">
        <f t="shared" si="5"/>
        <v>1.2355873101751222</v>
      </c>
      <c r="K30" s="10">
        <f t="shared" si="5"/>
        <v>5.3484929664110235</v>
      </c>
      <c r="L30" s="10">
        <f t="shared" si="5"/>
        <v>1.3519000923594304</v>
      </c>
      <c r="M30" s="10">
        <f t="shared" si="5"/>
        <v>6.463460935897961</v>
      </c>
      <c r="N30" s="10">
        <f t="shared" si="5"/>
        <v>1.6323055975064595</v>
      </c>
      <c r="O30" s="10">
        <f t="shared" si="5"/>
        <v>9.025691752450477</v>
      </c>
      <c r="P30" s="10">
        <f t="shared" si="5"/>
        <v>2.57634517885412</v>
      </c>
      <c r="Q30" s="10">
        <f>+O30+M30+K30+I30+G30+E30+C30</f>
        <v>34.06823832178157</v>
      </c>
      <c r="R30" s="10">
        <f>+P30+N30+L30+J30+H30+F30+D30-0.004</f>
        <v>8.602404386662839</v>
      </c>
      <c r="T30" s="11"/>
    </row>
    <row r="31" spans="1:18" ht="45">
      <c r="A31" s="52" t="s">
        <v>9</v>
      </c>
      <c r="B31" s="12" t="s">
        <v>38</v>
      </c>
      <c r="C31" s="25"/>
      <c r="D31" s="25"/>
      <c r="E31" s="25">
        <v>0</v>
      </c>
      <c r="F31" s="25">
        <v>0</v>
      </c>
      <c r="G31" s="10">
        <f>13.068*3.463/24.383+1.047-1.047</f>
        <v>1.8559850715662554</v>
      </c>
      <c r="H31" s="10">
        <f>+G31*0.388+0.001</f>
        <v>0.7211222077677071</v>
      </c>
      <c r="I31" s="10">
        <f>13.068*3.501/24.383</f>
        <v>1.876351064266087</v>
      </c>
      <c r="J31" s="10">
        <f>+I31*0.388+0.001</f>
        <v>0.7290242129352418</v>
      </c>
      <c r="K31" s="10">
        <f>13.068*3.828/24.383</f>
        <v>2.051605790919903</v>
      </c>
      <c r="L31" s="10">
        <f>+K31*0.388+0.002</f>
        <v>0.7980230468769223</v>
      </c>
      <c r="M31" s="10">
        <f>13.068*4.626/24.383</f>
        <v>2.479291637616372</v>
      </c>
      <c r="N31" s="10">
        <f>+M31*0.388+0.001</f>
        <v>0.9629651553951524</v>
      </c>
      <c r="O31" s="10">
        <f>13.068*4.901/24.383+1.047+1.131</f>
        <v>4.804677111101998</v>
      </c>
      <c r="P31" s="10">
        <f>+O31*0.388+0.003</f>
        <v>1.867214719107575</v>
      </c>
      <c r="Q31" s="10">
        <f>+O31+M31+K31+I31+G31+E31+C31</f>
        <v>13.067910675470616</v>
      </c>
      <c r="R31" s="10">
        <f>+P31+N31+L31+J31+H31+F31+D31-0.001</f>
        <v>5.077349342082599</v>
      </c>
    </row>
    <row r="32" spans="1:18" ht="22.5">
      <c r="A32" s="52" t="s">
        <v>10</v>
      </c>
      <c r="B32" s="12" t="s">
        <v>37</v>
      </c>
      <c r="C32" s="25"/>
      <c r="D32" s="25"/>
      <c r="E32" s="25">
        <v>2.908</v>
      </c>
      <c r="F32" s="25">
        <f>+E32*0.168</f>
        <v>0.48854400000000003</v>
      </c>
      <c r="G32" s="10">
        <v>3.575</v>
      </c>
      <c r="H32" s="10">
        <f>+G32*0.168</f>
        <v>0.6006</v>
      </c>
      <c r="I32" s="10">
        <f>21*3.501/24.383</f>
        <v>3.0152565311897637</v>
      </c>
      <c r="J32" s="10">
        <f>+I32*0.168</f>
        <v>0.5065630972398804</v>
      </c>
      <c r="K32" s="10">
        <f>21*3.828/24.383</f>
        <v>3.2968871754911206</v>
      </c>
      <c r="L32" s="10">
        <f>+K32*0.168</f>
        <v>0.5538770454825083</v>
      </c>
      <c r="M32" s="10">
        <f>21*4.626/24.383</f>
        <v>3.9841692982815897</v>
      </c>
      <c r="N32" s="10">
        <f>+M32*0.168</f>
        <v>0.6693404421113072</v>
      </c>
      <c r="O32" s="10">
        <f>21*4.901/24.383</f>
        <v>4.22101464134848</v>
      </c>
      <c r="P32" s="10">
        <f>+O32*0.168</f>
        <v>0.7091304597465448</v>
      </c>
      <c r="Q32" s="10">
        <f>+O32+M32+K32+I32+G32+E32+C32</f>
        <v>21.000327646310954</v>
      </c>
      <c r="R32" s="10">
        <f>+P32+N32+L32+J32+H32+F32+D32</f>
        <v>3.528055044580241</v>
      </c>
    </row>
    <row r="33" spans="1:40" s="4" customFormat="1" ht="12.75">
      <c r="A33" s="9"/>
      <c r="B33" s="15" t="s">
        <v>4</v>
      </c>
      <c r="C33" s="25">
        <f>SUM(C30+C29+C28+C27+C26+C25+C24+C23+C22+C21+C20+C19+C18+C15+C12+C11+C10+C9+C8)</f>
        <v>31.308</v>
      </c>
      <c r="D33" s="25">
        <f>SUM(D30+D29+D28+D27+D26+D25+D24+D23+D22+D21+D20+D19+D18+D15+D12+D11+D10+D9+D8)</f>
        <v>15.654</v>
      </c>
      <c r="E33" s="25">
        <f>SUM(E30+E29+E28+E27+E26+E25+E24+E23+E22+E21+E20+E19+E18+E15+E12+E11+E10+E9+E8)</f>
        <v>43.736</v>
      </c>
      <c r="F33" s="25">
        <f>+F32+F31+F29+F28+F27+F26+F25+F24+F23+F22+F21+F20+F19+F18+F17+F16+F14+F13+F11+F10+F9+F8</f>
        <v>14.111589</v>
      </c>
      <c r="G33" s="13">
        <f>SUM(G30+G29+G28+G27+G26+G25+G24+G23+G22+G21+G20+G19+G18+G15+G12+G11+G10+G9+G8)</f>
        <v>60.12198507156626</v>
      </c>
      <c r="H33" s="13">
        <f>+H32+H31+H29+H28+H27+H26+H25+H24+H23+H22+H21+H20+H19+H18+H17+H16+H14+H13+H11+H10+H9+H8-0.001</f>
        <v>20.417135207767707</v>
      </c>
      <c r="I33" s="13">
        <f>SUM(I30+I29+I28+I27+I26+I25+I24+I23+I22+I21+I20+I19+I18+I15+I12+I11+I10+I9+I8)-0.002</f>
        <v>53.56960759545585</v>
      </c>
      <c r="J33" s="13">
        <f>+J32+J31+J29+J28+J27+J26+J25+J24+J23+J22+J21+J20+J19+J18+J17+J16+J14+J13+J11+J10+J9+J8</f>
        <v>17.958412643508456</v>
      </c>
      <c r="K33" s="13">
        <f>SUM(K30+K29+K28+K27+K26+K25+K24+K23+K22+K21+K20+K19+K18+K15+K12+K11+K10+K9+K8)</f>
        <v>56.44349296641103</v>
      </c>
      <c r="L33" s="13">
        <f>SUM(L30+L29+L28+L27+L26+L25+L24+L23+L22+L21+L20+L19+L18+L15+L12+L11+L10+L9+L8)-0.002</f>
        <v>18.758390425692763</v>
      </c>
      <c r="M33" s="13">
        <f>SUM(M30+M29+M28+M27+M26+M25+M24+M23+M22+M21+M20+M19+M18+M15+M12+M11+M10+M9+M8)-0.001</f>
        <v>59.11946093589797</v>
      </c>
      <c r="N33" s="13">
        <f>SUM(N30+N29+N28+N27+N26+N25+N24+N23+N22+N21+N20+N19+N18+N15+N12+N11+N10+N9+N8)</f>
        <v>19.36796193083979</v>
      </c>
      <c r="O33" s="13">
        <f>SUM(O30+O29+O28+O27+O26+O25+O24+O23+O22+O21+O20+O19+O18+O15+O12+O11+O10+O9+O8)</f>
        <v>60.53969175245047</v>
      </c>
      <c r="P33" s="13">
        <f>SUM(P30+P29+P28+P27+P26+P25+P24+P23+P22+P21+P20+P19+P18+P15+P12+P11+P10+P9+P8)-0.001</f>
        <v>20.435988512187453</v>
      </c>
      <c r="Q33" s="13">
        <f>SUM(C33+E33+G33+I33+K33+M33+O33)</f>
        <v>364.8382383217816</v>
      </c>
      <c r="R33" s="13">
        <f>SUM(D33+F33+H33+J33+L33+N33+P33)</f>
        <v>126.70347771999617</v>
      </c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</row>
    <row r="34" spans="2:18" ht="12.75">
      <c r="B34" s="3"/>
      <c r="C34" s="23"/>
      <c r="D34" s="23"/>
      <c r="E34" s="20"/>
      <c r="F34" s="33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</row>
    <row r="36" ht="12.75">
      <c r="B36" s="7"/>
    </row>
  </sheetData>
  <mergeCells count="16">
    <mergeCell ref="C5:D5"/>
    <mergeCell ref="E5:F5"/>
    <mergeCell ref="G5:H5"/>
    <mergeCell ref="I5:J5"/>
    <mergeCell ref="K5:L5"/>
    <mergeCell ref="M5:N5"/>
    <mergeCell ref="O5:P5"/>
    <mergeCell ref="Q5:R5"/>
    <mergeCell ref="C6:D6"/>
    <mergeCell ref="E6:F6"/>
    <mergeCell ref="G6:H6"/>
    <mergeCell ref="I6:J6"/>
    <mergeCell ref="K6:L6"/>
    <mergeCell ref="M6:N6"/>
    <mergeCell ref="O6:P6"/>
    <mergeCell ref="Q6:R6"/>
  </mergeCells>
  <printOptions horizontalCentered="1" verticalCentered="1"/>
  <pageMargins left="0.15748031496062992" right="0.1968503937007874" top="0.3937007874015748" bottom="0.3937007874015748" header="0.2362204724409449" footer="0.2362204724409449"/>
  <pageSetup fitToHeight="1" fitToWidth="1" horizontalDpi="600" verticalDpi="600" orientation="landscape" paperSize="9" scale="62" r:id="rId1"/>
  <headerFooter alignWithMargins="0">
    <oddHeader>&amp;CPSR 2000-2006</oddHeader>
    <oddFooter>&amp;C&amp;"Arial Narrow,Normale"&amp;10&amp;F&amp;R&amp;A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5">
    <pageSetUpPr fitToPage="1"/>
  </sheetPr>
  <dimension ref="A1:T37"/>
  <sheetViews>
    <sheetView showGridLines="0" showZeros="0" workbookViewId="0" topLeftCell="A5">
      <pane ySplit="3" topLeftCell="BM22" activePane="bottomLeft" state="frozen"/>
      <selection pane="topLeft" activeCell="J45" sqref="J45"/>
      <selection pane="bottomLeft" activeCell="E28" sqref="E28"/>
    </sheetView>
  </sheetViews>
  <sheetFormatPr defaultColWidth="9.140625" defaultRowHeight="12"/>
  <cols>
    <col min="1" max="1" width="6.421875" style="1" customWidth="1"/>
    <col min="2" max="2" width="28.7109375" style="5" customWidth="1"/>
    <col min="3" max="18" width="9.8515625" style="1" customWidth="1"/>
    <col min="19" max="16384" width="9.140625" style="1" customWidth="1"/>
  </cols>
  <sheetData>
    <row r="1" ht="12.75">
      <c r="A1" s="4" t="s">
        <v>46</v>
      </c>
    </row>
    <row r="2" ht="12.75">
      <c r="A2" s="4"/>
    </row>
    <row r="3" ht="12.75">
      <c r="A3" s="58" t="s">
        <v>51</v>
      </c>
    </row>
    <row r="5" spans="1:18" s="35" customFormat="1" ht="12.75">
      <c r="A5" s="49"/>
      <c r="B5" s="50"/>
      <c r="C5" s="68" t="s">
        <v>6</v>
      </c>
      <c r="D5" s="68"/>
      <c r="E5" s="69" t="s">
        <v>6</v>
      </c>
      <c r="F5" s="68"/>
      <c r="G5" s="65" t="s">
        <v>6</v>
      </c>
      <c r="H5" s="66"/>
      <c r="I5" s="65" t="s">
        <v>6</v>
      </c>
      <c r="J5" s="66"/>
      <c r="K5" s="65" t="s">
        <v>6</v>
      </c>
      <c r="L5" s="66"/>
      <c r="M5" s="65" t="s">
        <v>6</v>
      </c>
      <c r="N5" s="66"/>
      <c r="O5" s="65" t="s">
        <v>6</v>
      </c>
      <c r="P5" s="67"/>
      <c r="Q5" s="66" t="s">
        <v>1</v>
      </c>
      <c r="R5" s="67"/>
    </row>
    <row r="6" spans="1:18" s="2" customFormat="1" ht="12.75">
      <c r="A6" s="45"/>
      <c r="B6" s="46" t="s">
        <v>0</v>
      </c>
      <c r="C6" s="62">
        <v>2000</v>
      </c>
      <c r="D6" s="62"/>
      <c r="E6" s="63">
        <v>2001</v>
      </c>
      <c r="F6" s="62"/>
      <c r="G6" s="60">
        <v>2002</v>
      </c>
      <c r="H6" s="59"/>
      <c r="I6" s="60">
        <v>2003</v>
      </c>
      <c r="J6" s="59"/>
      <c r="K6" s="60">
        <v>2004</v>
      </c>
      <c r="L6" s="61"/>
      <c r="M6" s="59">
        <v>2005</v>
      </c>
      <c r="N6" s="59"/>
      <c r="O6" s="60">
        <v>2006</v>
      </c>
      <c r="P6" s="61"/>
      <c r="Q6" s="70"/>
      <c r="R6" s="71"/>
    </row>
    <row r="7" spans="1:18" ht="25.5">
      <c r="A7" s="47"/>
      <c r="B7" s="56"/>
      <c r="C7" s="28" t="s">
        <v>2</v>
      </c>
      <c r="D7" s="24" t="s">
        <v>44</v>
      </c>
      <c r="E7" s="24" t="s">
        <v>2</v>
      </c>
      <c r="F7" s="24" t="s">
        <v>44</v>
      </c>
      <c r="G7" s="51" t="s">
        <v>2</v>
      </c>
      <c r="H7" s="51" t="s">
        <v>44</v>
      </c>
      <c r="I7" s="51" t="s">
        <v>2</v>
      </c>
      <c r="J7" s="51" t="s">
        <v>44</v>
      </c>
      <c r="K7" s="51" t="s">
        <v>2</v>
      </c>
      <c r="L7" s="51" t="s">
        <v>44</v>
      </c>
      <c r="M7" s="51" t="s">
        <v>2</v>
      </c>
      <c r="N7" s="51" t="s">
        <v>44</v>
      </c>
      <c r="O7" s="51" t="s">
        <v>2</v>
      </c>
      <c r="P7" s="51" t="s">
        <v>44</v>
      </c>
      <c r="Q7" s="51" t="s">
        <v>2</v>
      </c>
      <c r="R7" s="51" t="s">
        <v>44</v>
      </c>
    </row>
    <row r="8" spans="1:18" ht="21">
      <c r="A8" s="57">
        <v>1</v>
      </c>
      <c r="B8" s="36" t="s">
        <v>14</v>
      </c>
      <c r="C8" s="25">
        <v>0</v>
      </c>
      <c r="D8" s="25">
        <v>0</v>
      </c>
      <c r="E8" s="25">
        <v>0</v>
      </c>
      <c r="F8" s="25">
        <v>0</v>
      </c>
      <c r="G8" s="37">
        <v>0</v>
      </c>
      <c r="H8" s="37">
        <v>0</v>
      </c>
      <c r="I8" s="37">
        <v>0</v>
      </c>
      <c r="J8" s="37">
        <v>0</v>
      </c>
      <c r="K8" s="37">
        <v>0</v>
      </c>
      <c r="L8" s="37">
        <v>0</v>
      </c>
      <c r="M8" s="37">
        <v>0</v>
      </c>
      <c r="N8" s="37">
        <v>0</v>
      </c>
      <c r="O8" s="37">
        <v>0</v>
      </c>
      <c r="P8" s="37">
        <v>0</v>
      </c>
      <c r="Q8" s="37">
        <f>+O8+M8+K8+I8+G8+E8+C8</f>
        <v>0</v>
      </c>
      <c r="R8" s="37">
        <f>+P8+N8+L8+J8+H8+F8+D8</f>
        <v>0</v>
      </c>
    </row>
    <row r="9" spans="1:18" ht="21">
      <c r="A9" s="52">
        <v>2</v>
      </c>
      <c r="B9" s="8" t="s">
        <v>15</v>
      </c>
      <c r="C9" s="25">
        <v>0</v>
      </c>
      <c r="D9" s="25">
        <v>0</v>
      </c>
      <c r="E9" s="25">
        <v>0.583</v>
      </c>
      <c r="F9" s="25">
        <v>0.583</v>
      </c>
      <c r="G9" s="37">
        <v>0.583</v>
      </c>
      <c r="H9" s="37">
        <v>0.583</v>
      </c>
      <c r="I9" s="37">
        <v>0.583</v>
      </c>
      <c r="J9" s="37">
        <v>0.583</v>
      </c>
      <c r="K9" s="37">
        <v>0.583</v>
      </c>
      <c r="L9" s="37">
        <v>0.583</v>
      </c>
      <c r="M9" s="37">
        <v>0.583</v>
      </c>
      <c r="N9" s="37">
        <v>0.583</v>
      </c>
      <c r="O9" s="37">
        <v>0.583</v>
      </c>
      <c r="P9" s="37">
        <v>0.583</v>
      </c>
      <c r="Q9" s="37">
        <f>+O9+M9+K9+I9+G9+E9+C9+0.002</f>
        <v>3.5</v>
      </c>
      <c r="R9" s="37">
        <f>+P9+N9+L9+J9+H9+F9+D9+0.002</f>
        <v>3.5</v>
      </c>
    </row>
    <row r="10" spans="1:18" ht="12.75">
      <c r="A10" s="52">
        <v>3</v>
      </c>
      <c r="B10" s="8" t="s">
        <v>16</v>
      </c>
      <c r="C10" s="25">
        <v>0</v>
      </c>
      <c r="D10" s="25">
        <v>0</v>
      </c>
      <c r="E10" s="25">
        <v>0</v>
      </c>
      <c r="F10" s="25">
        <v>0</v>
      </c>
      <c r="G10" s="37">
        <v>0.15</v>
      </c>
      <c r="H10" s="37">
        <v>0.15</v>
      </c>
      <c r="I10" s="37">
        <v>0.15</v>
      </c>
      <c r="J10" s="37">
        <v>0.15</v>
      </c>
      <c r="K10" s="37">
        <v>0.15</v>
      </c>
      <c r="L10" s="37">
        <v>0.15</v>
      </c>
      <c r="M10" s="37">
        <v>0.15</v>
      </c>
      <c r="N10" s="37">
        <v>0.15</v>
      </c>
      <c r="O10" s="37">
        <v>0.15</v>
      </c>
      <c r="P10" s="37">
        <v>0.15</v>
      </c>
      <c r="Q10" s="37">
        <f>+O10+M10+K10+I10+G10+E10+C10</f>
        <v>0.75</v>
      </c>
      <c r="R10" s="37">
        <f>+P10+N10+L10+J10+H10+F10+D10</f>
        <v>0.75</v>
      </c>
    </row>
    <row r="11" spans="1:18" ht="21">
      <c r="A11" s="52">
        <v>4</v>
      </c>
      <c r="B11" s="8" t="s">
        <v>17</v>
      </c>
      <c r="C11" s="25">
        <v>0</v>
      </c>
      <c r="D11" s="25">
        <v>0</v>
      </c>
      <c r="E11" s="25">
        <v>0</v>
      </c>
      <c r="F11" s="25">
        <v>0</v>
      </c>
      <c r="G11" s="37">
        <v>0.014</v>
      </c>
      <c r="H11" s="37">
        <v>0.012</v>
      </c>
      <c r="I11" s="37">
        <v>0.024</v>
      </c>
      <c r="J11" s="37">
        <v>0.021</v>
      </c>
      <c r="K11" s="37">
        <v>0.014</v>
      </c>
      <c r="L11" s="37">
        <v>0.012</v>
      </c>
      <c r="M11" s="37">
        <v>0.014</v>
      </c>
      <c r="N11" s="37">
        <v>0.012</v>
      </c>
      <c r="O11" s="37">
        <v>0.014</v>
      </c>
      <c r="P11" s="37">
        <v>0.012</v>
      </c>
      <c r="Q11" s="37">
        <f>+O11+M11+K11+I11+G11+E11+C11+0.002</f>
        <v>0.082</v>
      </c>
      <c r="R11" s="37">
        <f>+P11+N11+L11+J11+H11+F11+D11+0.001</f>
        <v>0.07</v>
      </c>
    </row>
    <row r="12" spans="1:18" ht="42">
      <c r="A12" s="52" t="s">
        <v>21</v>
      </c>
      <c r="B12" s="8" t="s">
        <v>39</v>
      </c>
      <c r="C12" s="25"/>
      <c r="D12" s="25"/>
      <c r="E12" s="25"/>
      <c r="F12" s="25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</row>
    <row r="13" spans="1:18" ht="16.5" customHeight="1">
      <c r="A13" s="52" t="s">
        <v>22</v>
      </c>
      <c r="B13" s="12" t="s">
        <v>24</v>
      </c>
      <c r="C13" s="25"/>
      <c r="D13" s="25"/>
      <c r="E13" s="25"/>
      <c r="F13" s="25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</row>
    <row r="14" spans="1:18" ht="33.75">
      <c r="A14" s="52" t="s">
        <v>23</v>
      </c>
      <c r="B14" s="12" t="s">
        <v>40</v>
      </c>
      <c r="C14" s="25"/>
      <c r="D14" s="25"/>
      <c r="E14" s="25"/>
      <c r="F14" s="25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</row>
    <row r="15" spans="1:18" ht="52.5">
      <c r="A15" s="52" t="s">
        <v>11</v>
      </c>
      <c r="B15" s="8" t="s">
        <v>18</v>
      </c>
      <c r="C15" s="25">
        <v>0</v>
      </c>
      <c r="D15" s="25">
        <v>0</v>
      </c>
      <c r="E15" s="25">
        <v>0</v>
      </c>
      <c r="F15" s="25">
        <v>0</v>
      </c>
      <c r="G15" s="37">
        <v>0</v>
      </c>
      <c r="H15" s="37">
        <v>0</v>
      </c>
      <c r="I15" s="37">
        <v>0</v>
      </c>
      <c r="J15" s="37">
        <v>0</v>
      </c>
      <c r="K15" s="37">
        <v>0</v>
      </c>
      <c r="L15" s="37">
        <v>0</v>
      </c>
      <c r="M15" s="37">
        <v>0</v>
      </c>
      <c r="N15" s="37">
        <v>0</v>
      </c>
      <c r="O15" s="37">
        <v>0</v>
      </c>
      <c r="P15" s="37">
        <v>0</v>
      </c>
      <c r="Q15" s="37">
        <f>+O15+M15+K15+I15+G15+E15+C15</f>
        <v>0</v>
      </c>
      <c r="R15" s="37">
        <f>+P15+N15+L15+J15+H15+F15+D15</f>
        <v>0</v>
      </c>
    </row>
    <row r="16" spans="1:18" ht="45">
      <c r="A16" s="52" t="s">
        <v>12</v>
      </c>
      <c r="B16" s="12" t="s">
        <v>19</v>
      </c>
      <c r="C16" s="25"/>
      <c r="D16" s="25"/>
      <c r="E16" s="25"/>
      <c r="F16" s="25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</row>
    <row r="17" spans="1:18" ht="67.5">
      <c r="A17" s="52" t="s">
        <v>13</v>
      </c>
      <c r="B17" s="12" t="s">
        <v>20</v>
      </c>
      <c r="C17" s="25"/>
      <c r="D17" s="25"/>
      <c r="E17" s="25"/>
      <c r="F17" s="25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</row>
    <row r="18" spans="1:18" ht="31.5">
      <c r="A18" s="52"/>
      <c r="B18" s="8" t="s">
        <v>7</v>
      </c>
      <c r="C18" s="25">
        <v>0</v>
      </c>
      <c r="D18" s="25">
        <v>0</v>
      </c>
      <c r="E18" s="25">
        <v>0</v>
      </c>
      <c r="F18" s="25">
        <v>0</v>
      </c>
      <c r="G18" s="37">
        <v>0</v>
      </c>
      <c r="H18" s="37">
        <v>0</v>
      </c>
      <c r="I18" s="37">
        <v>0</v>
      </c>
      <c r="J18" s="37">
        <v>0</v>
      </c>
      <c r="K18" s="37">
        <v>0</v>
      </c>
      <c r="L18" s="37">
        <v>0</v>
      </c>
      <c r="M18" s="37">
        <v>0</v>
      </c>
      <c r="N18" s="37">
        <v>0</v>
      </c>
      <c r="O18" s="37">
        <v>0</v>
      </c>
      <c r="P18" s="37">
        <v>0</v>
      </c>
      <c r="Q18" s="37">
        <f aca="true" t="shared" si="0" ref="Q18:R22">+O18+M18+K18+I18+G18+E18+C18</f>
        <v>0</v>
      </c>
      <c r="R18" s="37">
        <f t="shared" si="0"/>
        <v>0</v>
      </c>
    </row>
    <row r="19" spans="1:18" ht="42">
      <c r="A19" s="52">
        <v>6</v>
      </c>
      <c r="B19" s="8" t="s">
        <v>25</v>
      </c>
      <c r="C19" s="25">
        <v>0</v>
      </c>
      <c r="D19" s="25">
        <v>0</v>
      </c>
      <c r="E19" s="25">
        <v>0</v>
      </c>
      <c r="F19" s="25">
        <v>0</v>
      </c>
      <c r="G19" s="37">
        <v>0</v>
      </c>
      <c r="H19" s="37">
        <v>0</v>
      </c>
      <c r="I19" s="37">
        <v>0</v>
      </c>
      <c r="J19" s="37">
        <v>0</v>
      </c>
      <c r="K19" s="37">
        <v>0</v>
      </c>
      <c r="L19" s="37">
        <v>0</v>
      </c>
      <c r="M19" s="37">
        <v>0</v>
      </c>
      <c r="N19" s="37">
        <v>0</v>
      </c>
      <c r="O19" s="37">
        <v>0</v>
      </c>
      <c r="P19" s="37">
        <v>0</v>
      </c>
      <c r="Q19" s="37">
        <f t="shared" si="0"/>
        <v>0</v>
      </c>
      <c r="R19" s="37">
        <f t="shared" si="0"/>
        <v>0</v>
      </c>
    </row>
    <row r="20" spans="1:18" ht="42">
      <c r="A20" s="52">
        <v>7</v>
      </c>
      <c r="B20" s="8" t="s">
        <v>26</v>
      </c>
      <c r="C20" s="25">
        <v>0</v>
      </c>
      <c r="D20" s="25">
        <v>0</v>
      </c>
      <c r="E20" s="25">
        <v>0</v>
      </c>
      <c r="F20" s="25">
        <v>0</v>
      </c>
      <c r="G20" s="37">
        <v>0.016</v>
      </c>
      <c r="H20" s="37">
        <v>0.012</v>
      </c>
      <c r="I20" s="37">
        <v>0.035</v>
      </c>
      <c r="J20" s="37">
        <v>0.028</v>
      </c>
      <c r="K20" s="37">
        <v>0.035</v>
      </c>
      <c r="L20" s="37">
        <v>0.028</v>
      </c>
      <c r="M20" s="37">
        <v>0.035</v>
      </c>
      <c r="N20" s="37">
        <v>0.028</v>
      </c>
      <c r="O20" s="37">
        <v>0.035</v>
      </c>
      <c r="P20" s="37">
        <v>0.028</v>
      </c>
      <c r="Q20" s="37">
        <f t="shared" si="0"/>
        <v>0.15600000000000003</v>
      </c>
      <c r="R20" s="37">
        <f t="shared" si="0"/>
        <v>0.124</v>
      </c>
    </row>
    <row r="21" spans="1:18" ht="12.75">
      <c r="A21" s="52">
        <v>8</v>
      </c>
      <c r="B21" s="8" t="s">
        <v>27</v>
      </c>
      <c r="C21" s="25">
        <v>0</v>
      </c>
      <c r="D21" s="25">
        <v>0</v>
      </c>
      <c r="E21" s="25">
        <v>0.065</v>
      </c>
      <c r="F21" s="25">
        <v>0.065</v>
      </c>
      <c r="G21" s="37">
        <v>0.145</v>
      </c>
      <c r="H21" s="37">
        <v>0.145</v>
      </c>
      <c r="I21" s="37">
        <v>0.135</v>
      </c>
      <c r="J21" s="37">
        <v>0.135</v>
      </c>
      <c r="K21" s="37">
        <v>0.135</v>
      </c>
      <c r="L21" s="37">
        <v>0.135</v>
      </c>
      <c r="M21" s="37">
        <v>0.135</v>
      </c>
      <c r="N21" s="37">
        <v>0.135</v>
      </c>
      <c r="O21" s="37">
        <v>0.135</v>
      </c>
      <c r="P21" s="37">
        <v>0.135</v>
      </c>
      <c r="Q21" s="37">
        <f t="shared" si="0"/>
        <v>0.75</v>
      </c>
      <c r="R21" s="37">
        <f t="shared" si="0"/>
        <v>0.75</v>
      </c>
    </row>
    <row r="22" spans="1:18" ht="52.5">
      <c r="A22" s="52">
        <v>9</v>
      </c>
      <c r="B22" s="8" t="s">
        <v>28</v>
      </c>
      <c r="C22" s="25">
        <v>0</v>
      </c>
      <c r="D22" s="25">
        <v>0</v>
      </c>
      <c r="E22" s="25">
        <v>0</v>
      </c>
      <c r="F22" s="25">
        <v>0</v>
      </c>
      <c r="G22" s="37">
        <v>0</v>
      </c>
      <c r="H22" s="37">
        <v>0</v>
      </c>
      <c r="I22" s="37">
        <v>0</v>
      </c>
      <c r="J22" s="37">
        <v>0</v>
      </c>
      <c r="K22" s="37">
        <v>0</v>
      </c>
      <c r="L22" s="37">
        <v>0</v>
      </c>
      <c r="M22" s="37">
        <v>0</v>
      </c>
      <c r="N22" s="37">
        <v>0</v>
      </c>
      <c r="O22" s="37">
        <v>0</v>
      </c>
      <c r="P22" s="37">
        <v>0</v>
      </c>
      <c r="Q22" s="37">
        <f t="shared" si="0"/>
        <v>0</v>
      </c>
      <c r="R22" s="37">
        <f t="shared" si="0"/>
        <v>0</v>
      </c>
    </row>
    <row r="23" spans="1:18" ht="21">
      <c r="A23" s="52">
        <v>10</v>
      </c>
      <c r="B23" s="8" t="s">
        <v>29</v>
      </c>
      <c r="C23" s="25">
        <v>0</v>
      </c>
      <c r="D23" s="25">
        <v>0</v>
      </c>
      <c r="E23" s="25">
        <v>0</v>
      </c>
      <c r="F23" s="25">
        <v>0</v>
      </c>
      <c r="G23" s="37">
        <v>0.022</v>
      </c>
      <c r="H23" s="37">
        <v>0.018</v>
      </c>
      <c r="I23" s="37">
        <v>0.041</v>
      </c>
      <c r="J23" s="37">
        <v>0.033</v>
      </c>
      <c r="K23" s="37">
        <v>0.041</v>
      </c>
      <c r="L23" s="37">
        <v>0.033</v>
      </c>
      <c r="M23" s="37">
        <v>0.041</v>
      </c>
      <c r="N23" s="37">
        <v>0.033</v>
      </c>
      <c r="O23" s="37">
        <v>0.041</v>
      </c>
      <c r="P23" s="37">
        <v>0.033</v>
      </c>
      <c r="Q23" s="37">
        <f>+O23+M23+K23+I23+G23+E23+C23+0.001</f>
        <v>0.187</v>
      </c>
      <c r="R23" s="37">
        <f>+P23+N23+L23+J23+H23+F23+D23</f>
        <v>0.15</v>
      </c>
    </row>
    <row r="24" spans="1:18" ht="42">
      <c r="A24" s="52">
        <v>11</v>
      </c>
      <c r="B24" s="8" t="s">
        <v>30</v>
      </c>
      <c r="C24" s="25">
        <v>0</v>
      </c>
      <c r="D24" s="25">
        <v>0</v>
      </c>
      <c r="E24" s="25">
        <v>0</v>
      </c>
      <c r="F24" s="25">
        <v>0</v>
      </c>
      <c r="G24" s="37">
        <f>1.141</f>
        <v>1.141</v>
      </c>
      <c r="H24" s="37">
        <f>0.913</f>
        <v>0.913</v>
      </c>
      <c r="I24" s="37">
        <v>1.199</v>
      </c>
      <c r="J24" s="37">
        <v>0.959</v>
      </c>
      <c r="K24" s="37">
        <v>1.199</v>
      </c>
      <c r="L24" s="37">
        <v>0.959</v>
      </c>
      <c r="M24" s="37">
        <f>0.907+0.2</f>
        <v>1.107</v>
      </c>
      <c r="N24" s="37">
        <f>0.725+0.16</f>
        <v>0.885</v>
      </c>
      <c r="O24" s="37">
        <f>0.966+0.239</f>
        <v>1.205</v>
      </c>
      <c r="P24" s="37">
        <f>0.772+0.191</f>
        <v>0.9630000000000001</v>
      </c>
      <c r="Q24" s="37">
        <f>+O24+M24+K24+I24+G24+E24+C24-0.001</f>
        <v>5.85</v>
      </c>
      <c r="R24" s="37">
        <f>+P24+N24+L24+J24+H24+F24+D24+0.001</f>
        <v>4.680000000000001</v>
      </c>
    </row>
    <row r="25" spans="1:18" ht="22.5">
      <c r="A25" s="52">
        <v>12</v>
      </c>
      <c r="B25" s="38" t="s">
        <v>31</v>
      </c>
      <c r="C25" s="25">
        <v>0</v>
      </c>
      <c r="D25" s="25">
        <v>0</v>
      </c>
      <c r="E25" s="25">
        <v>0</v>
      </c>
      <c r="F25" s="25">
        <v>0</v>
      </c>
      <c r="G25" s="37">
        <v>0</v>
      </c>
      <c r="H25" s="37">
        <v>0</v>
      </c>
      <c r="I25" s="37">
        <v>0</v>
      </c>
      <c r="J25" s="37">
        <v>0</v>
      </c>
      <c r="K25" s="37">
        <v>0</v>
      </c>
      <c r="L25" s="37">
        <v>0</v>
      </c>
      <c r="M25" s="37">
        <v>0</v>
      </c>
      <c r="N25" s="37">
        <v>0</v>
      </c>
      <c r="O25" s="37">
        <v>0</v>
      </c>
      <c r="P25" s="37">
        <v>0</v>
      </c>
      <c r="Q25" s="37">
        <f aca="true" t="shared" si="1" ref="Q25:R28">+O25+M25+K25+I25+G25+E25+C25</f>
        <v>0</v>
      </c>
      <c r="R25" s="37">
        <f t="shared" si="1"/>
        <v>0</v>
      </c>
    </row>
    <row r="26" spans="1:18" s="5" customFormat="1" ht="21">
      <c r="A26" s="52">
        <v>13</v>
      </c>
      <c r="B26" s="8" t="s">
        <v>32</v>
      </c>
      <c r="C26" s="25">
        <v>0</v>
      </c>
      <c r="D26" s="25">
        <v>0</v>
      </c>
      <c r="E26" s="25">
        <v>0.1</v>
      </c>
      <c r="F26" s="25">
        <v>0.1</v>
      </c>
      <c r="G26" s="10">
        <v>0.1</v>
      </c>
      <c r="H26" s="10">
        <v>0.1</v>
      </c>
      <c r="I26" s="10">
        <v>0.1</v>
      </c>
      <c r="J26" s="10">
        <v>0.1</v>
      </c>
      <c r="K26" s="10">
        <v>1</v>
      </c>
      <c r="L26" s="10">
        <v>1</v>
      </c>
      <c r="M26" s="10">
        <v>1</v>
      </c>
      <c r="N26" s="10">
        <v>1</v>
      </c>
      <c r="O26" s="10">
        <v>1</v>
      </c>
      <c r="P26" s="10">
        <v>1</v>
      </c>
      <c r="Q26" s="37">
        <f t="shared" si="1"/>
        <v>3.3000000000000003</v>
      </c>
      <c r="R26" s="37">
        <f t="shared" si="1"/>
        <v>3.3000000000000003</v>
      </c>
    </row>
    <row r="27" spans="1:18" s="5" customFormat="1" ht="12.75">
      <c r="A27" s="52"/>
      <c r="B27" s="8" t="s">
        <v>5</v>
      </c>
      <c r="C27" s="25">
        <v>1</v>
      </c>
      <c r="D27" s="25">
        <v>1</v>
      </c>
      <c r="E27" s="25">
        <v>0.9</v>
      </c>
      <c r="F27" s="25">
        <v>0.9</v>
      </c>
      <c r="G27" s="10">
        <v>0.9</v>
      </c>
      <c r="H27" s="10">
        <v>0.9</v>
      </c>
      <c r="I27" s="10">
        <v>0.9</v>
      </c>
      <c r="J27" s="10">
        <v>0.9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37">
        <f t="shared" si="1"/>
        <v>3.7</v>
      </c>
      <c r="R27" s="37">
        <f t="shared" si="1"/>
        <v>3.7</v>
      </c>
    </row>
    <row r="28" spans="1:18" ht="31.5">
      <c r="A28" s="52">
        <v>14</v>
      </c>
      <c r="B28" s="8" t="s">
        <v>33</v>
      </c>
      <c r="C28" s="25">
        <v>0</v>
      </c>
      <c r="D28" s="25">
        <v>0</v>
      </c>
      <c r="E28" s="25">
        <v>4.836</v>
      </c>
      <c r="F28" s="25">
        <v>4.836</v>
      </c>
      <c r="G28" s="37">
        <v>4.496</v>
      </c>
      <c r="H28" s="37">
        <f>+G28</f>
        <v>4.496</v>
      </c>
      <c r="I28" s="37">
        <v>3.596</v>
      </c>
      <c r="J28" s="37">
        <f>+I28</f>
        <v>3.596</v>
      </c>
      <c r="K28" s="37">
        <v>3.596</v>
      </c>
      <c r="L28" s="37">
        <f>+K28</f>
        <v>3.596</v>
      </c>
      <c r="M28" s="37">
        <v>3.596</v>
      </c>
      <c r="N28" s="37">
        <f>+M28</f>
        <v>3.596</v>
      </c>
      <c r="O28" s="37">
        <v>3.593</v>
      </c>
      <c r="P28" s="37">
        <f>+O28</f>
        <v>3.593</v>
      </c>
      <c r="Q28" s="37">
        <f t="shared" si="1"/>
        <v>23.713</v>
      </c>
      <c r="R28" s="37">
        <f t="shared" si="1"/>
        <v>23.713</v>
      </c>
    </row>
    <row r="29" spans="1:18" ht="63">
      <c r="A29" s="52" t="s">
        <v>8</v>
      </c>
      <c r="B29" s="8" t="s">
        <v>34</v>
      </c>
      <c r="C29" s="25">
        <v>0</v>
      </c>
      <c r="D29" s="25">
        <v>0</v>
      </c>
      <c r="E29" s="25">
        <v>0</v>
      </c>
      <c r="F29" s="25">
        <v>0</v>
      </c>
      <c r="G29" s="37">
        <v>0.018</v>
      </c>
      <c r="H29" s="37">
        <v>0.009</v>
      </c>
      <c r="I29" s="37">
        <v>0.041</v>
      </c>
      <c r="J29" s="37">
        <v>0.021</v>
      </c>
      <c r="K29" s="37">
        <v>0.041</v>
      </c>
      <c r="L29" s="37">
        <v>0.021</v>
      </c>
      <c r="M29" s="37">
        <v>0.041</v>
      </c>
      <c r="N29" s="37">
        <v>0.021</v>
      </c>
      <c r="O29" s="37">
        <v>0.041</v>
      </c>
      <c r="P29" s="37">
        <v>0.021</v>
      </c>
      <c r="Q29" s="37">
        <f>+O29+M29+K29+I29+G29+E29+C29+0.001</f>
        <v>0.183</v>
      </c>
      <c r="R29" s="37">
        <f>+P29+N29+L29+J29+H29+F29+D29-0.001</f>
        <v>0.092</v>
      </c>
    </row>
    <row r="30" spans="1:18" ht="52.5">
      <c r="A30" s="52" t="s">
        <v>36</v>
      </c>
      <c r="B30" s="8" t="s">
        <v>35</v>
      </c>
      <c r="C30" s="25">
        <f aca="true" t="shared" si="2" ref="C30:P30">SUM(C31:C32)</f>
        <v>0</v>
      </c>
      <c r="D30" s="25">
        <f t="shared" si="2"/>
        <v>0</v>
      </c>
      <c r="E30" s="25">
        <f t="shared" si="2"/>
        <v>0</v>
      </c>
      <c r="F30" s="25">
        <f t="shared" si="2"/>
        <v>0</v>
      </c>
      <c r="G30" s="37">
        <f t="shared" si="2"/>
        <v>0.535</v>
      </c>
      <c r="H30" s="37">
        <f t="shared" si="2"/>
        <v>0.455</v>
      </c>
      <c r="I30" s="37">
        <f t="shared" si="2"/>
        <v>0.541</v>
      </c>
      <c r="J30" s="37">
        <f t="shared" si="2"/>
        <v>0.46</v>
      </c>
      <c r="K30" s="37">
        <f t="shared" si="2"/>
        <v>0.591</v>
      </c>
      <c r="L30" s="37">
        <f t="shared" si="2"/>
        <v>0.503</v>
      </c>
      <c r="M30" s="37">
        <f t="shared" si="2"/>
        <v>0.714</v>
      </c>
      <c r="N30" s="37">
        <f t="shared" si="2"/>
        <v>0.608</v>
      </c>
      <c r="O30" s="37">
        <f t="shared" si="2"/>
        <v>1.384</v>
      </c>
      <c r="P30" s="37">
        <f t="shared" si="2"/>
        <v>1.178</v>
      </c>
      <c r="Q30" s="37">
        <f>+O30+M30+K30+I30+G30+E30+C30-0.002</f>
        <v>3.7630000000000003</v>
      </c>
      <c r="R30" s="37">
        <f>+P30+N30+L30+J30+H30+F30+D30-0.002</f>
        <v>3.2020000000000004</v>
      </c>
    </row>
    <row r="31" spans="1:18" ht="45">
      <c r="A31" s="52" t="s">
        <v>9</v>
      </c>
      <c r="B31" s="12" t="s">
        <v>38</v>
      </c>
      <c r="C31" s="25">
        <v>0</v>
      </c>
      <c r="D31" s="25">
        <v>0</v>
      </c>
      <c r="E31" s="25">
        <v>0</v>
      </c>
      <c r="F31" s="25">
        <v>0</v>
      </c>
      <c r="G31" s="37">
        <v>0.535</v>
      </c>
      <c r="H31" s="37">
        <v>0.455</v>
      </c>
      <c r="I31" s="37">
        <v>0.541</v>
      </c>
      <c r="J31" s="37">
        <v>0.46</v>
      </c>
      <c r="K31" s="37">
        <v>0.591</v>
      </c>
      <c r="L31" s="37">
        <v>0.503</v>
      </c>
      <c r="M31" s="37">
        <v>0.714</v>
      </c>
      <c r="N31" s="37">
        <v>0.608</v>
      </c>
      <c r="O31" s="37">
        <f>0.757+0.627</f>
        <v>1.384</v>
      </c>
      <c r="P31" s="37">
        <f>0.644+0.534</f>
        <v>1.178</v>
      </c>
      <c r="Q31" s="37">
        <f>+O31+M31+K31+I31+G31+E31+C31-0.002</f>
        <v>3.7630000000000003</v>
      </c>
      <c r="R31" s="37">
        <f>+P31+N31+L31+J31+H31+F31+D31-0.002</f>
        <v>3.2020000000000004</v>
      </c>
    </row>
    <row r="32" spans="1:18" ht="22.5">
      <c r="A32" s="52" t="s">
        <v>10</v>
      </c>
      <c r="B32" s="12" t="s">
        <v>37</v>
      </c>
      <c r="C32" s="25"/>
      <c r="D32" s="25"/>
      <c r="E32" s="25"/>
      <c r="F32" s="25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</row>
    <row r="33" spans="1:18" s="4" customFormat="1" ht="12.75">
      <c r="A33" s="39"/>
      <c r="B33" s="16" t="s">
        <v>4</v>
      </c>
      <c r="C33" s="25">
        <f aca="true" t="shared" si="3" ref="C33:I33">SUM(C8:C30)</f>
        <v>1</v>
      </c>
      <c r="D33" s="25">
        <f t="shared" si="3"/>
        <v>1</v>
      </c>
      <c r="E33" s="25">
        <f t="shared" si="3"/>
        <v>6.484</v>
      </c>
      <c r="F33" s="25">
        <f t="shared" si="3"/>
        <v>6.484</v>
      </c>
      <c r="G33" s="40">
        <f t="shared" si="3"/>
        <v>8.12</v>
      </c>
      <c r="H33" s="40">
        <f t="shared" si="3"/>
        <v>7.793000000000001</v>
      </c>
      <c r="I33" s="40">
        <f t="shared" si="3"/>
        <v>7.345000000000001</v>
      </c>
      <c r="J33" s="40">
        <f>SUM(J8:J30)+0.001</f>
        <v>6.987</v>
      </c>
      <c r="K33" s="40">
        <f aca="true" t="shared" si="4" ref="K33:R33">SUM(K8:K30)</f>
        <v>7.385000000000001</v>
      </c>
      <c r="L33" s="40">
        <f t="shared" si="4"/>
        <v>7.0200000000000005</v>
      </c>
      <c r="M33" s="40">
        <f t="shared" si="4"/>
        <v>7.416</v>
      </c>
      <c r="N33" s="40">
        <f t="shared" si="4"/>
        <v>7.051</v>
      </c>
      <c r="O33" s="40">
        <f t="shared" si="4"/>
        <v>8.181000000000001</v>
      </c>
      <c r="P33" s="40">
        <f t="shared" si="4"/>
        <v>7.696</v>
      </c>
      <c r="Q33" s="40">
        <f t="shared" si="4"/>
        <v>45.934</v>
      </c>
      <c r="R33" s="40">
        <f t="shared" si="4"/>
        <v>44.031</v>
      </c>
    </row>
    <row r="34" spans="2:18" ht="12.75">
      <c r="B34" s="6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</row>
    <row r="35" spans="5:18" ht="12.75"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</row>
    <row r="36" spans="2:17" ht="12.75">
      <c r="B36" s="42"/>
      <c r="Q36" s="14"/>
    </row>
    <row r="37" spans="3:20" ht="12.75"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</row>
  </sheetData>
  <mergeCells count="16">
    <mergeCell ref="C5:D5"/>
    <mergeCell ref="E5:F5"/>
    <mergeCell ref="G5:H5"/>
    <mergeCell ref="I5:J5"/>
    <mergeCell ref="K5:L5"/>
    <mergeCell ref="M5:N5"/>
    <mergeCell ref="O5:P5"/>
    <mergeCell ref="Q5:R5"/>
    <mergeCell ref="C6:D6"/>
    <mergeCell ref="E6:F6"/>
    <mergeCell ref="G6:H6"/>
    <mergeCell ref="I6:J6"/>
    <mergeCell ref="K6:L6"/>
    <mergeCell ref="M6:N6"/>
    <mergeCell ref="O6:P6"/>
    <mergeCell ref="Q6:R6"/>
  </mergeCells>
  <printOptions horizontalCentered="1" verticalCentered="1"/>
  <pageMargins left="0.15748031496062992" right="0.1968503937007874" top="0.3937007874015748" bottom="0.3937007874015748" header="0.2362204724409449" footer="0.2362204724409449"/>
  <pageSetup fitToHeight="1" fitToWidth="1" horizontalDpi="600" verticalDpi="600" orientation="landscape" paperSize="9" scale="60" r:id="rId1"/>
  <headerFooter alignWithMargins="0">
    <oddHeader>&amp;CPSR 2000-2006</oddHeader>
    <oddFooter>&amp;C&amp;"Arial Narrow,Normale"&amp;10&amp;F&amp;R&amp;A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6">
    <pageSetUpPr fitToPage="1"/>
  </sheetPr>
  <dimension ref="A1:R36"/>
  <sheetViews>
    <sheetView showGridLines="0" showZeros="0" workbookViewId="0" topLeftCell="A5">
      <pane ySplit="3" topLeftCell="BM8" activePane="bottomLeft" state="frozen"/>
      <selection pane="topLeft" activeCell="J45" sqref="J45"/>
      <selection pane="bottomLeft" activeCell="A8" sqref="A8"/>
    </sheetView>
  </sheetViews>
  <sheetFormatPr defaultColWidth="9.140625" defaultRowHeight="12"/>
  <cols>
    <col min="1" max="1" width="6.421875" style="1" customWidth="1"/>
    <col min="2" max="2" width="28.7109375" style="5" customWidth="1"/>
    <col min="3" max="18" width="9.8515625" style="1" customWidth="1"/>
    <col min="19" max="16384" width="9.140625" style="1" customWidth="1"/>
  </cols>
  <sheetData>
    <row r="1" ht="12.75">
      <c r="A1" s="4" t="s">
        <v>46</v>
      </c>
    </row>
    <row r="2" ht="12.75">
      <c r="A2" s="4"/>
    </row>
    <row r="3" ht="12.75">
      <c r="A3" s="58" t="s">
        <v>52</v>
      </c>
    </row>
    <row r="5" spans="1:18" s="35" customFormat="1" ht="12.75">
      <c r="A5" s="49"/>
      <c r="B5" s="50"/>
      <c r="C5" s="68" t="s">
        <v>6</v>
      </c>
      <c r="D5" s="68"/>
      <c r="E5" s="69" t="s">
        <v>6</v>
      </c>
      <c r="F5" s="68"/>
      <c r="G5" s="65" t="s">
        <v>6</v>
      </c>
      <c r="H5" s="66"/>
      <c r="I5" s="65" t="s">
        <v>6</v>
      </c>
      <c r="J5" s="66"/>
      <c r="K5" s="65" t="s">
        <v>6</v>
      </c>
      <c r="L5" s="66"/>
      <c r="M5" s="65" t="s">
        <v>6</v>
      </c>
      <c r="N5" s="66"/>
      <c r="O5" s="65" t="s">
        <v>6</v>
      </c>
      <c r="P5" s="67"/>
      <c r="Q5" s="66" t="s">
        <v>1</v>
      </c>
      <c r="R5" s="67"/>
    </row>
    <row r="6" spans="1:18" s="2" customFormat="1" ht="12.75">
      <c r="A6" s="45"/>
      <c r="B6" s="46" t="s">
        <v>0</v>
      </c>
      <c r="C6" s="62">
        <v>2000</v>
      </c>
      <c r="D6" s="62"/>
      <c r="E6" s="63">
        <v>2001</v>
      </c>
      <c r="F6" s="62"/>
      <c r="G6" s="60">
        <v>2002</v>
      </c>
      <c r="H6" s="59"/>
      <c r="I6" s="60">
        <v>2003</v>
      </c>
      <c r="J6" s="59"/>
      <c r="K6" s="60">
        <v>2004</v>
      </c>
      <c r="L6" s="61"/>
      <c r="M6" s="59">
        <v>2005</v>
      </c>
      <c r="N6" s="59"/>
      <c r="O6" s="60">
        <v>2006</v>
      </c>
      <c r="P6" s="61"/>
      <c r="Q6" s="70"/>
      <c r="R6" s="71"/>
    </row>
    <row r="7" spans="1:18" ht="38.25">
      <c r="A7" s="47"/>
      <c r="B7" s="56"/>
      <c r="C7" s="28" t="s">
        <v>41</v>
      </c>
      <c r="D7" s="24" t="s">
        <v>44</v>
      </c>
      <c r="E7" s="28" t="s">
        <v>41</v>
      </c>
      <c r="F7" s="24" t="s">
        <v>44</v>
      </c>
      <c r="G7" s="55" t="s">
        <v>41</v>
      </c>
      <c r="H7" s="51" t="s">
        <v>44</v>
      </c>
      <c r="I7" s="55" t="s">
        <v>41</v>
      </c>
      <c r="J7" s="51" t="s">
        <v>44</v>
      </c>
      <c r="K7" s="55" t="s">
        <v>41</v>
      </c>
      <c r="L7" s="51" t="s">
        <v>44</v>
      </c>
      <c r="M7" s="55" t="s">
        <v>41</v>
      </c>
      <c r="N7" s="51" t="s">
        <v>44</v>
      </c>
      <c r="O7" s="55" t="s">
        <v>41</v>
      </c>
      <c r="P7" s="51" t="s">
        <v>44</v>
      </c>
      <c r="Q7" s="55" t="s">
        <v>41</v>
      </c>
      <c r="R7" s="51" t="s">
        <v>44</v>
      </c>
    </row>
    <row r="8" spans="1:18" ht="21">
      <c r="A8" s="57">
        <v>1</v>
      </c>
      <c r="B8" s="36" t="s">
        <v>14</v>
      </c>
      <c r="C8" s="25">
        <v>0</v>
      </c>
      <c r="D8" s="25">
        <v>0</v>
      </c>
      <c r="E8" s="25">
        <v>0</v>
      </c>
      <c r="F8" s="25">
        <v>0</v>
      </c>
      <c r="G8" s="37">
        <v>0</v>
      </c>
      <c r="H8" s="37">
        <v>0</v>
      </c>
      <c r="I8" s="37">
        <v>0</v>
      </c>
      <c r="J8" s="37">
        <v>0</v>
      </c>
      <c r="K8" s="37">
        <v>0</v>
      </c>
      <c r="L8" s="37">
        <v>0</v>
      </c>
      <c r="M8" s="37">
        <v>0</v>
      </c>
      <c r="N8" s="37">
        <v>0</v>
      </c>
      <c r="O8" s="37">
        <v>0</v>
      </c>
      <c r="P8" s="37">
        <v>0</v>
      </c>
      <c r="Q8" s="37">
        <f>+O8+M8+K8+I8+G8+E8+C8</f>
        <v>0</v>
      </c>
      <c r="R8" s="37">
        <f>+P8+N8+L8+J8+H8+F8+D8</f>
        <v>0</v>
      </c>
    </row>
    <row r="9" spans="1:18" ht="21">
      <c r="A9" s="52">
        <v>2</v>
      </c>
      <c r="B9" s="8" t="s">
        <v>15</v>
      </c>
      <c r="C9" s="25">
        <v>0</v>
      </c>
      <c r="D9" s="25">
        <v>0</v>
      </c>
      <c r="E9" s="25">
        <v>0.583</v>
      </c>
      <c r="F9" s="25">
        <v>0.583</v>
      </c>
      <c r="G9" s="37">
        <v>0.583</v>
      </c>
      <c r="H9" s="37">
        <v>0.583</v>
      </c>
      <c r="I9" s="37">
        <v>0.583</v>
      </c>
      <c r="J9" s="37">
        <v>0.583</v>
      </c>
      <c r="K9" s="37">
        <v>0.583</v>
      </c>
      <c r="L9" s="37">
        <v>0.583</v>
      </c>
      <c r="M9" s="37">
        <v>0.583</v>
      </c>
      <c r="N9" s="37">
        <v>0.583</v>
      </c>
      <c r="O9" s="37">
        <v>0.583</v>
      </c>
      <c r="P9" s="37">
        <v>0.583</v>
      </c>
      <c r="Q9" s="37">
        <f>+O9+M9+K9+I9+G9+E9+C9+0.002</f>
        <v>3.5</v>
      </c>
      <c r="R9" s="37">
        <f>+P9+N9+L9+J9+H9+F9+D9+0.002</f>
        <v>3.5</v>
      </c>
    </row>
    <row r="10" spans="1:18" ht="12.75">
      <c r="A10" s="52">
        <v>3</v>
      </c>
      <c r="B10" s="8" t="s">
        <v>16</v>
      </c>
      <c r="C10" s="25">
        <v>0</v>
      </c>
      <c r="D10" s="25">
        <v>0</v>
      </c>
      <c r="E10" s="25">
        <v>0</v>
      </c>
      <c r="F10" s="25">
        <v>0</v>
      </c>
      <c r="G10" s="37">
        <v>0.15</v>
      </c>
      <c r="H10" s="37">
        <v>0.15</v>
      </c>
      <c r="I10" s="37">
        <v>0.15</v>
      </c>
      <c r="J10" s="37">
        <v>0.15</v>
      </c>
      <c r="K10" s="37">
        <v>0.15</v>
      </c>
      <c r="L10" s="37">
        <v>0.15</v>
      </c>
      <c r="M10" s="37">
        <v>0.15</v>
      </c>
      <c r="N10" s="37">
        <v>0.15</v>
      </c>
      <c r="O10" s="37">
        <v>0.15</v>
      </c>
      <c r="P10" s="37">
        <v>0.15</v>
      </c>
      <c r="Q10" s="37">
        <f>+O10+M10+K10+I10+G10+E10+C10</f>
        <v>0.75</v>
      </c>
      <c r="R10" s="37">
        <f>+P10+N10+L10+J10+H10+F10+D10</f>
        <v>0.75</v>
      </c>
    </row>
    <row r="11" spans="1:18" ht="21">
      <c r="A11" s="52">
        <v>4</v>
      </c>
      <c r="B11" s="8" t="s">
        <v>17</v>
      </c>
      <c r="C11" s="25">
        <v>0</v>
      </c>
      <c r="D11" s="25">
        <v>0</v>
      </c>
      <c r="E11" s="25">
        <v>0</v>
      </c>
      <c r="F11" s="25">
        <v>0</v>
      </c>
      <c r="G11" s="37">
        <v>0.012</v>
      </c>
      <c r="H11" s="37">
        <v>0.012</v>
      </c>
      <c r="I11" s="37">
        <f>0.012+0.009</f>
        <v>0.020999999999999998</v>
      </c>
      <c r="J11" s="37">
        <f>0.012+0.009</f>
        <v>0.020999999999999998</v>
      </c>
      <c r="K11" s="37">
        <v>0.012</v>
      </c>
      <c r="L11" s="37">
        <v>0.012</v>
      </c>
      <c r="M11" s="37">
        <v>0.012</v>
      </c>
      <c r="N11" s="37">
        <v>0.012</v>
      </c>
      <c r="O11" s="37">
        <v>0.012</v>
      </c>
      <c r="P11" s="37">
        <v>0.012</v>
      </c>
      <c r="Q11" s="37">
        <f>+O11+M11+K11+I11+G11+E11+C11+0.001</f>
        <v>0.07</v>
      </c>
      <c r="R11" s="37">
        <f>+P11+N11+L11+J11+H11+F11+D11+0.001</f>
        <v>0.07</v>
      </c>
    </row>
    <row r="12" spans="1:18" ht="42">
      <c r="A12" s="52" t="s">
        <v>21</v>
      </c>
      <c r="B12" s="8" t="s">
        <v>39</v>
      </c>
      <c r="C12" s="25"/>
      <c r="D12" s="25"/>
      <c r="E12" s="25"/>
      <c r="F12" s="25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</row>
    <row r="13" spans="1:18" ht="16.5" customHeight="1">
      <c r="A13" s="53" t="s">
        <v>22</v>
      </c>
      <c r="B13" s="12" t="s">
        <v>24</v>
      </c>
      <c r="C13" s="25"/>
      <c r="D13" s="25"/>
      <c r="E13" s="25"/>
      <c r="F13" s="25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</row>
    <row r="14" spans="1:18" ht="33.75">
      <c r="A14" s="53" t="s">
        <v>23</v>
      </c>
      <c r="B14" s="12" t="s">
        <v>40</v>
      </c>
      <c r="C14" s="25"/>
      <c r="D14" s="25"/>
      <c r="E14" s="25"/>
      <c r="F14" s="25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</row>
    <row r="15" spans="1:18" ht="52.5">
      <c r="A15" s="52" t="s">
        <v>11</v>
      </c>
      <c r="B15" s="8" t="s">
        <v>18</v>
      </c>
      <c r="C15" s="25">
        <v>0</v>
      </c>
      <c r="D15" s="25">
        <v>0</v>
      </c>
      <c r="E15" s="25">
        <v>0</v>
      </c>
      <c r="F15" s="25">
        <v>0</v>
      </c>
      <c r="G15" s="37">
        <v>0</v>
      </c>
      <c r="H15" s="37">
        <v>0</v>
      </c>
      <c r="I15" s="37">
        <v>0</v>
      </c>
      <c r="J15" s="37">
        <v>0</v>
      </c>
      <c r="K15" s="37">
        <v>0</v>
      </c>
      <c r="L15" s="37">
        <v>0</v>
      </c>
      <c r="M15" s="37">
        <v>0</v>
      </c>
      <c r="N15" s="37">
        <v>0</v>
      </c>
      <c r="O15" s="37">
        <v>0</v>
      </c>
      <c r="P15" s="37">
        <v>0</v>
      </c>
      <c r="Q15" s="37">
        <f>+O15+M15+K15+I15+G15+E15+C15</f>
        <v>0</v>
      </c>
      <c r="R15" s="37">
        <f>+P15+N15+L15+J15+H15+F15+D15</f>
        <v>0</v>
      </c>
    </row>
    <row r="16" spans="1:18" ht="45">
      <c r="A16" s="53" t="s">
        <v>12</v>
      </c>
      <c r="B16" s="12" t="s">
        <v>19</v>
      </c>
      <c r="C16" s="25"/>
      <c r="D16" s="25"/>
      <c r="E16" s="25"/>
      <c r="F16" s="25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</row>
    <row r="17" spans="1:18" ht="67.5">
      <c r="A17" s="53" t="s">
        <v>13</v>
      </c>
      <c r="B17" s="12" t="s">
        <v>20</v>
      </c>
      <c r="C17" s="25"/>
      <c r="D17" s="25"/>
      <c r="E17" s="25"/>
      <c r="F17" s="25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</row>
    <row r="18" spans="1:18" ht="31.5">
      <c r="A18" s="54"/>
      <c r="B18" s="8" t="s">
        <v>7</v>
      </c>
      <c r="C18" s="25">
        <v>0</v>
      </c>
      <c r="D18" s="25">
        <v>0</v>
      </c>
      <c r="E18" s="25">
        <v>0</v>
      </c>
      <c r="F18" s="25">
        <v>0</v>
      </c>
      <c r="G18" s="37">
        <v>0</v>
      </c>
      <c r="H18" s="37">
        <v>0</v>
      </c>
      <c r="I18" s="37">
        <v>0</v>
      </c>
      <c r="J18" s="37">
        <v>0</v>
      </c>
      <c r="K18" s="37">
        <v>0</v>
      </c>
      <c r="L18" s="37">
        <v>0</v>
      </c>
      <c r="M18" s="37">
        <v>0</v>
      </c>
      <c r="N18" s="37">
        <v>0</v>
      </c>
      <c r="O18" s="37">
        <v>0</v>
      </c>
      <c r="P18" s="37">
        <v>0</v>
      </c>
      <c r="Q18" s="37">
        <f aca="true" t="shared" si="0" ref="Q18:R23">+O18+M18+K18+I18+G18+E18+C18</f>
        <v>0</v>
      </c>
      <c r="R18" s="37">
        <f t="shared" si="0"/>
        <v>0</v>
      </c>
    </row>
    <row r="19" spans="1:18" ht="42">
      <c r="A19" s="54">
        <v>6</v>
      </c>
      <c r="B19" s="8" t="s">
        <v>25</v>
      </c>
      <c r="C19" s="25">
        <v>0</v>
      </c>
      <c r="D19" s="25">
        <v>0</v>
      </c>
      <c r="E19" s="25">
        <v>0</v>
      </c>
      <c r="F19" s="25">
        <v>0</v>
      </c>
      <c r="G19" s="37">
        <v>0</v>
      </c>
      <c r="H19" s="37">
        <v>0</v>
      </c>
      <c r="I19" s="37">
        <v>0</v>
      </c>
      <c r="J19" s="37">
        <v>0</v>
      </c>
      <c r="K19" s="37">
        <v>0</v>
      </c>
      <c r="L19" s="37">
        <v>0</v>
      </c>
      <c r="M19" s="37">
        <v>0</v>
      </c>
      <c r="N19" s="37">
        <v>0</v>
      </c>
      <c r="O19" s="37">
        <v>0</v>
      </c>
      <c r="P19" s="37">
        <v>0</v>
      </c>
      <c r="Q19" s="37">
        <f t="shared" si="0"/>
        <v>0</v>
      </c>
      <c r="R19" s="37">
        <f t="shared" si="0"/>
        <v>0</v>
      </c>
    </row>
    <row r="20" spans="1:18" ht="42">
      <c r="A20" s="54">
        <v>7</v>
      </c>
      <c r="B20" s="8" t="s">
        <v>26</v>
      </c>
      <c r="C20" s="25">
        <v>0</v>
      </c>
      <c r="D20" s="25">
        <v>0</v>
      </c>
      <c r="E20" s="25">
        <v>0</v>
      </c>
      <c r="F20" s="25">
        <v>0</v>
      </c>
      <c r="G20" s="37">
        <v>0.012</v>
      </c>
      <c r="H20" s="37">
        <v>0.012</v>
      </c>
      <c r="I20" s="37">
        <v>0.028</v>
      </c>
      <c r="J20" s="37">
        <v>0.028</v>
      </c>
      <c r="K20" s="37">
        <v>0.028</v>
      </c>
      <c r="L20" s="37">
        <v>0.028</v>
      </c>
      <c r="M20" s="37">
        <v>0.028</v>
      </c>
      <c r="N20" s="37">
        <v>0.028</v>
      </c>
      <c r="O20" s="37">
        <v>0.028</v>
      </c>
      <c r="P20" s="37">
        <v>0.028</v>
      </c>
      <c r="Q20" s="37">
        <f t="shared" si="0"/>
        <v>0.124</v>
      </c>
      <c r="R20" s="37">
        <f t="shared" si="0"/>
        <v>0.124</v>
      </c>
    </row>
    <row r="21" spans="1:18" ht="12.75">
      <c r="A21" s="54">
        <v>8</v>
      </c>
      <c r="B21" s="8" t="s">
        <v>27</v>
      </c>
      <c r="C21" s="25">
        <v>0</v>
      </c>
      <c r="D21" s="25">
        <v>0</v>
      </c>
      <c r="E21" s="25">
        <v>0.065</v>
      </c>
      <c r="F21" s="25">
        <v>0.065</v>
      </c>
      <c r="G21" s="37">
        <v>0.145</v>
      </c>
      <c r="H21" s="37">
        <v>0.145</v>
      </c>
      <c r="I21" s="37">
        <v>0.135</v>
      </c>
      <c r="J21" s="37">
        <v>0.135</v>
      </c>
      <c r="K21" s="37">
        <v>0.135</v>
      </c>
      <c r="L21" s="37">
        <v>0.135</v>
      </c>
      <c r="M21" s="37">
        <v>0.135</v>
      </c>
      <c r="N21" s="37">
        <v>0.135</v>
      </c>
      <c r="O21" s="37">
        <v>0.135</v>
      </c>
      <c r="P21" s="37">
        <v>0.135</v>
      </c>
      <c r="Q21" s="37">
        <f t="shared" si="0"/>
        <v>0.75</v>
      </c>
      <c r="R21" s="37">
        <f t="shared" si="0"/>
        <v>0.75</v>
      </c>
    </row>
    <row r="22" spans="1:18" ht="52.5">
      <c r="A22" s="54">
        <v>9</v>
      </c>
      <c r="B22" s="8" t="s">
        <v>28</v>
      </c>
      <c r="C22" s="25">
        <v>0</v>
      </c>
      <c r="D22" s="25">
        <v>0</v>
      </c>
      <c r="E22" s="25">
        <v>0</v>
      </c>
      <c r="F22" s="25">
        <v>0</v>
      </c>
      <c r="G22" s="37">
        <v>0</v>
      </c>
      <c r="H22" s="37">
        <v>0</v>
      </c>
      <c r="I22" s="37">
        <v>0</v>
      </c>
      <c r="J22" s="37">
        <v>0</v>
      </c>
      <c r="K22" s="37">
        <v>0</v>
      </c>
      <c r="L22" s="37">
        <v>0</v>
      </c>
      <c r="M22" s="37">
        <v>0</v>
      </c>
      <c r="N22" s="37">
        <v>0</v>
      </c>
      <c r="O22" s="37">
        <v>0</v>
      </c>
      <c r="P22" s="37">
        <v>0</v>
      </c>
      <c r="Q22" s="37">
        <f t="shared" si="0"/>
        <v>0</v>
      </c>
      <c r="R22" s="37">
        <f t="shared" si="0"/>
        <v>0</v>
      </c>
    </row>
    <row r="23" spans="1:18" ht="21">
      <c r="A23" s="54">
        <v>10</v>
      </c>
      <c r="B23" s="8" t="s">
        <v>29</v>
      </c>
      <c r="C23" s="25">
        <v>0</v>
      </c>
      <c r="D23" s="25">
        <v>0</v>
      </c>
      <c r="E23" s="25">
        <v>0</v>
      </c>
      <c r="F23" s="25">
        <v>0</v>
      </c>
      <c r="G23" s="37">
        <v>0.018</v>
      </c>
      <c r="H23" s="37">
        <v>0.018</v>
      </c>
      <c r="I23" s="37">
        <v>0.033</v>
      </c>
      <c r="J23" s="37">
        <v>0.033</v>
      </c>
      <c r="K23" s="37">
        <v>0.033</v>
      </c>
      <c r="L23" s="37">
        <v>0.033</v>
      </c>
      <c r="M23" s="37">
        <v>0.033</v>
      </c>
      <c r="N23" s="37">
        <v>0.033</v>
      </c>
      <c r="O23" s="37">
        <v>0.033</v>
      </c>
      <c r="P23" s="37">
        <v>0.033</v>
      </c>
      <c r="Q23" s="37">
        <f t="shared" si="0"/>
        <v>0.15</v>
      </c>
      <c r="R23" s="37">
        <f t="shared" si="0"/>
        <v>0.15</v>
      </c>
    </row>
    <row r="24" spans="1:18" ht="42">
      <c r="A24" s="54">
        <v>11</v>
      </c>
      <c r="B24" s="8" t="s">
        <v>30</v>
      </c>
      <c r="C24" s="25">
        <v>0</v>
      </c>
      <c r="D24" s="25">
        <v>0</v>
      </c>
      <c r="E24" s="25">
        <v>0</v>
      </c>
      <c r="F24" s="25">
        <v>0</v>
      </c>
      <c r="G24" s="37">
        <f>0.913</f>
        <v>0.913</v>
      </c>
      <c r="H24" s="37">
        <f>0.913</f>
        <v>0.913</v>
      </c>
      <c r="I24" s="37">
        <v>0.959</v>
      </c>
      <c r="J24" s="37">
        <v>0.959</v>
      </c>
      <c r="K24" s="37">
        <v>0.959</v>
      </c>
      <c r="L24" s="37">
        <v>0.959</v>
      </c>
      <c r="M24" s="37">
        <f>0.725+0.16</f>
        <v>0.885</v>
      </c>
      <c r="N24" s="37">
        <f>0.725+0.16</f>
        <v>0.885</v>
      </c>
      <c r="O24" s="37">
        <f>0.772+0.191</f>
        <v>0.9630000000000001</v>
      </c>
      <c r="P24" s="37">
        <f>0.772+0.191</f>
        <v>0.9630000000000001</v>
      </c>
      <c r="Q24" s="37">
        <f>+O24+M24+K24+I24+G24+E24+C24+0.001</f>
        <v>4.680000000000001</v>
      </c>
      <c r="R24" s="37">
        <f>+P24+N24+L24+J24+H24+F24+D24+0.001</f>
        <v>4.680000000000001</v>
      </c>
    </row>
    <row r="25" spans="1:18" ht="22.5">
      <c r="A25" s="54">
        <v>12</v>
      </c>
      <c r="B25" s="38" t="s">
        <v>31</v>
      </c>
      <c r="C25" s="25">
        <v>0</v>
      </c>
      <c r="D25" s="25">
        <v>0</v>
      </c>
      <c r="E25" s="25">
        <v>0</v>
      </c>
      <c r="F25" s="25">
        <v>0</v>
      </c>
      <c r="G25" s="37">
        <v>0</v>
      </c>
      <c r="H25" s="37">
        <v>0</v>
      </c>
      <c r="I25" s="37">
        <v>0</v>
      </c>
      <c r="J25" s="37">
        <v>0</v>
      </c>
      <c r="K25" s="37">
        <v>0</v>
      </c>
      <c r="L25" s="37">
        <v>0</v>
      </c>
      <c r="M25" s="37">
        <v>0</v>
      </c>
      <c r="N25" s="37">
        <v>0</v>
      </c>
      <c r="O25" s="37">
        <v>0</v>
      </c>
      <c r="P25" s="37">
        <v>0</v>
      </c>
      <c r="Q25" s="37">
        <f aca="true" t="shared" si="1" ref="Q25:R28">+O25+M25+K25+I25+G25+E25+C25</f>
        <v>0</v>
      </c>
      <c r="R25" s="37">
        <f t="shared" si="1"/>
        <v>0</v>
      </c>
    </row>
    <row r="26" spans="1:18" s="5" customFormat="1" ht="21">
      <c r="A26" s="54">
        <v>13</v>
      </c>
      <c r="B26" s="8" t="s">
        <v>32</v>
      </c>
      <c r="C26" s="25">
        <v>0</v>
      </c>
      <c r="D26" s="25">
        <v>0</v>
      </c>
      <c r="E26" s="25">
        <v>0.1</v>
      </c>
      <c r="F26" s="25">
        <v>0.1</v>
      </c>
      <c r="G26" s="10">
        <v>0.1</v>
      </c>
      <c r="H26" s="10">
        <v>0.1</v>
      </c>
      <c r="I26" s="10">
        <v>0.1</v>
      </c>
      <c r="J26" s="10">
        <v>0.1</v>
      </c>
      <c r="K26" s="10">
        <v>1</v>
      </c>
      <c r="L26" s="10">
        <v>1</v>
      </c>
      <c r="M26" s="10">
        <v>1</v>
      </c>
      <c r="N26" s="10">
        <v>1</v>
      </c>
      <c r="O26" s="10">
        <v>1</v>
      </c>
      <c r="P26" s="10">
        <v>1</v>
      </c>
      <c r="Q26" s="37">
        <f t="shared" si="1"/>
        <v>3.3000000000000003</v>
      </c>
      <c r="R26" s="37">
        <f t="shared" si="1"/>
        <v>3.3000000000000003</v>
      </c>
    </row>
    <row r="27" spans="1:18" s="5" customFormat="1" ht="12.75">
      <c r="A27" s="54"/>
      <c r="B27" s="8" t="s">
        <v>5</v>
      </c>
      <c r="C27" s="25">
        <v>1</v>
      </c>
      <c r="D27" s="25">
        <v>1</v>
      </c>
      <c r="E27" s="25">
        <v>0.9</v>
      </c>
      <c r="F27" s="25">
        <v>0.9</v>
      </c>
      <c r="G27" s="10">
        <v>0.9</v>
      </c>
      <c r="H27" s="10">
        <v>0.9</v>
      </c>
      <c r="I27" s="10">
        <v>0.9</v>
      </c>
      <c r="J27" s="10">
        <v>0.9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37">
        <f t="shared" si="1"/>
        <v>3.7</v>
      </c>
      <c r="R27" s="37">
        <f t="shared" si="1"/>
        <v>3.7</v>
      </c>
    </row>
    <row r="28" spans="1:18" ht="31.5">
      <c r="A28" s="54">
        <v>14</v>
      </c>
      <c r="B28" s="8" t="s">
        <v>33</v>
      </c>
      <c r="C28" s="25">
        <v>0</v>
      </c>
      <c r="D28" s="25">
        <v>0</v>
      </c>
      <c r="E28" s="25">
        <v>4.836</v>
      </c>
      <c r="F28" s="25">
        <v>4.836</v>
      </c>
      <c r="G28" s="37">
        <v>4.496</v>
      </c>
      <c r="H28" s="37">
        <f>+G28</f>
        <v>4.496</v>
      </c>
      <c r="I28" s="37">
        <v>3.596</v>
      </c>
      <c r="J28" s="37">
        <f>+I28</f>
        <v>3.596</v>
      </c>
      <c r="K28" s="37">
        <v>3.596</v>
      </c>
      <c r="L28" s="37">
        <f>+K28</f>
        <v>3.596</v>
      </c>
      <c r="M28" s="37">
        <v>3.596</v>
      </c>
      <c r="N28" s="37">
        <f>+M28</f>
        <v>3.596</v>
      </c>
      <c r="O28" s="37">
        <v>3.593</v>
      </c>
      <c r="P28" s="37">
        <f>+O28</f>
        <v>3.593</v>
      </c>
      <c r="Q28" s="37">
        <f t="shared" si="1"/>
        <v>23.713</v>
      </c>
      <c r="R28" s="37">
        <f t="shared" si="1"/>
        <v>23.713</v>
      </c>
    </row>
    <row r="29" spans="1:18" ht="63">
      <c r="A29" s="54" t="s">
        <v>8</v>
      </c>
      <c r="B29" s="8" t="s">
        <v>34</v>
      </c>
      <c r="C29" s="25">
        <v>0</v>
      </c>
      <c r="D29" s="25">
        <v>0</v>
      </c>
      <c r="E29" s="25">
        <v>0</v>
      </c>
      <c r="F29" s="25">
        <v>0</v>
      </c>
      <c r="G29" s="37">
        <v>0.009</v>
      </c>
      <c r="H29" s="37">
        <v>0.009</v>
      </c>
      <c r="I29" s="37">
        <v>0.021</v>
      </c>
      <c r="J29" s="37">
        <v>0.021</v>
      </c>
      <c r="K29" s="37">
        <v>0.021</v>
      </c>
      <c r="L29" s="37">
        <v>0.021</v>
      </c>
      <c r="M29" s="37">
        <v>0.021</v>
      </c>
      <c r="N29" s="37">
        <v>0.021</v>
      </c>
      <c r="O29" s="37">
        <v>0.021</v>
      </c>
      <c r="P29" s="37">
        <v>0.021</v>
      </c>
      <c r="Q29" s="37">
        <f>+O29+M29+K29+I29+G29+E29+C29-0.001</f>
        <v>0.092</v>
      </c>
      <c r="R29" s="37">
        <f>+P29+N29+L29+J29+H29+F29+D29-0.001</f>
        <v>0.092</v>
      </c>
    </row>
    <row r="30" spans="1:18" ht="52.5">
      <c r="A30" s="54" t="s">
        <v>36</v>
      </c>
      <c r="B30" s="8" t="s">
        <v>35</v>
      </c>
      <c r="C30" s="25">
        <f aca="true" t="shared" si="2" ref="C30:P30">SUM(C31:C32)</f>
        <v>0</v>
      </c>
      <c r="D30" s="25">
        <f t="shared" si="2"/>
        <v>0</v>
      </c>
      <c r="E30" s="25">
        <f t="shared" si="2"/>
        <v>0</v>
      </c>
      <c r="F30" s="25">
        <f t="shared" si="2"/>
        <v>0</v>
      </c>
      <c r="G30" s="37">
        <f t="shared" si="2"/>
        <v>0.455</v>
      </c>
      <c r="H30" s="37">
        <f t="shared" si="2"/>
        <v>0.455</v>
      </c>
      <c r="I30" s="37">
        <f t="shared" si="2"/>
        <v>0.46</v>
      </c>
      <c r="J30" s="37">
        <f t="shared" si="2"/>
        <v>0.46</v>
      </c>
      <c r="K30" s="37">
        <f t="shared" si="2"/>
        <v>0.503</v>
      </c>
      <c r="L30" s="37">
        <f t="shared" si="2"/>
        <v>0.503</v>
      </c>
      <c r="M30" s="37">
        <f t="shared" si="2"/>
        <v>0.608</v>
      </c>
      <c r="N30" s="37">
        <f t="shared" si="2"/>
        <v>0.608</v>
      </c>
      <c r="O30" s="37">
        <f t="shared" si="2"/>
        <v>1.178</v>
      </c>
      <c r="P30" s="37">
        <f t="shared" si="2"/>
        <v>1.178</v>
      </c>
      <c r="Q30" s="37">
        <f>+O30+M30+K30+I30+G30+E30+C30-0.002</f>
        <v>3.2020000000000004</v>
      </c>
      <c r="R30" s="37">
        <f>+P30+N30+L30+J30+H30+F30+D30-0.002</f>
        <v>3.2020000000000004</v>
      </c>
    </row>
    <row r="31" spans="1:18" ht="45">
      <c r="A31" s="54" t="s">
        <v>9</v>
      </c>
      <c r="B31" s="12" t="s">
        <v>38</v>
      </c>
      <c r="C31" s="25">
        <v>0</v>
      </c>
      <c r="D31" s="25">
        <v>0</v>
      </c>
      <c r="E31" s="25">
        <v>0</v>
      </c>
      <c r="F31" s="25">
        <v>0</v>
      </c>
      <c r="G31" s="37">
        <v>0.455</v>
      </c>
      <c r="H31" s="37">
        <v>0.455</v>
      </c>
      <c r="I31" s="37">
        <v>0.46</v>
      </c>
      <c r="J31" s="37">
        <v>0.46</v>
      </c>
      <c r="K31" s="37">
        <v>0.503</v>
      </c>
      <c r="L31" s="37">
        <v>0.503</v>
      </c>
      <c r="M31" s="37">
        <v>0.608</v>
      </c>
      <c r="N31" s="37">
        <v>0.608</v>
      </c>
      <c r="O31" s="37">
        <f>0.644+0.534</f>
        <v>1.178</v>
      </c>
      <c r="P31" s="37">
        <f>0.644+0.534</f>
        <v>1.178</v>
      </c>
      <c r="Q31" s="37">
        <f>+O31+M31+K31+I31+G31+E31+C31-0.002</f>
        <v>3.2020000000000004</v>
      </c>
      <c r="R31" s="37">
        <f>+P31+N31+L31+J31+H31+F31+D31-0.002</f>
        <v>3.2020000000000004</v>
      </c>
    </row>
    <row r="32" spans="1:18" ht="22.5">
      <c r="A32" s="54" t="s">
        <v>10</v>
      </c>
      <c r="B32" s="12" t="s">
        <v>37</v>
      </c>
      <c r="C32" s="25"/>
      <c r="D32" s="25"/>
      <c r="E32" s="25"/>
      <c r="F32" s="25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</row>
    <row r="33" spans="1:18" s="4" customFormat="1" ht="12.75">
      <c r="A33" s="39"/>
      <c r="B33" s="16" t="s">
        <v>4</v>
      </c>
      <c r="C33" s="25">
        <f aca="true" t="shared" si="3" ref="C33:H33">+C30+C29+C28+C27+C26+C25+C24+C23+C22+C21+C20+C19+C18+C15+C12+C11+C10+C9+C8</f>
        <v>1</v>
      </c>
      <c r="D33" s="25">
        <f t="shared" si="3"/>
        <v>1</v>
      </c>
      <c r="E33" s="25">
        <f t="shared" si="3"/>
        <v>6.484000000000001</v>
      </c>
      <c r="F33" s="25">
        <f t="shared" si="3"/>
        <v>6.484000000000001</v>
      </c>
      <c r="G33" s="40">
        <f t="shared" si="3"/>
        <v>7.793</v>
      </c>
      <c r="H33" s="40">
        <f t="shared" si="3"/>
        <v>7.793</v>
      </c>
      <c r="I33" s="40">
        <f>+I30+I29+I28+I27+I26+I25+I24+I23+I22+I21+I20+I19+I18+I15+I12+I11+I10+I9+I8+0.001</f>
        <v>6.987</v>
      </c>
      <c r="J33" s="40">
        <f>+J30+J29+J28+J27+J26+J25+J24+J23+J22+J21+J20+J19+J18+J15+J12+J11+J10+J9+J8+0.001</f>
        <v>6.987</v>
      </c>
      <c r="K33" s="40">
        <f aca="true" t="shared" si="4" ref="K33:R33">+K30+K29+K28+K27+K26+K25+K24+K23+K22+K21+K20+K19+K18+K15+K12+K11+K10+K9+K8</f>
        <v>7.02</v>
      </c>
      <c r="L33" s="40">
        <f t="shared" si="4"/>
        <v>7.02</v>
      </c>
      <c r="M33" s="40">
        <f t="shared" si="4"/>
        <v>7.050999999999999</v>
      </c>
      <c r="N33" s="40">
        <f t="shared" si="4"/>
        <v>7.050999999999999</v>
      </c>
      <c r="O33" s="40">
        <f t="shared" si="4"/>
        <v>7.696</v>
      </c>
      <c r="P33" s="40">
        <f t="shared" si="4"/>
        <v>7.696</v>
      </c>
      <c r="Q33" s="40">
        <f t="shared" si="4"/>
        <v>44.031</v>
      </c>
      <c r="R33" s="40">
        <f t="shared" si="4"/>
        <v>44.031</v>
      </c>
    </row>
    <row r="34" spans="2:18" ht="12.75">
      <c r="B34" s="6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</row>
    <row r="36" ht="12.75">
      <c r="B36" s="42"/>
    </row>
  </sheetData>
  <mergeCells count="16">
    <mergeCell ref="C5:D5"/>
    <mergeCell ref="E5:F5"/>
    <mergeCell ref="G5:H5"/>
    <mergeCell ref="I5:J5"/>
    <mergeCell ref="K5:L5"/>
    <mergeCell ref="M5:N5"/>
    <mergeCell ref="O5:P5"/>
    <mergeCell ref="Q5:R5"/>
    <mergeCell ref="C6:D6"/>
    <mergeCell ref="E6:F6"/>
    <mergeCell ref="G6:H6"/>
    <mergeCell ref="I6:J6"/>
    <mergeCell ref="K6:L6"/>
    <mergeCell ref="M6:N6"/>
    <mergeCell ref="O6:P6"/>
    <mergeCell ref="Q6:R6"/>
  </mergeCells>
  <printOptions horizontalCentered="1" verticalCentered="1"/>
  <pageMargins left="0.15748031496062992" right="0.1968503937007874" top="0.3937007874015748" bottom="0.3937007874015748" header="0.2362204724409449" footer="0.2362204724409449"/>
  <pageSetup fitToHeight="1" fitToWidth="1" horizontalDpi="600" verticalDpi="600" orientation="landscape" paperSize="9" scale="59" r:id="rId1"/>
  <headerFooter alignWithMargins="0">
    <oddHeader>&amp;CPSR 2000-2006</oddHeader>
    <oddFooter>&amp;C&amp;"Arial Narrow,Normale"&amp;10&amp;F&amp;R&amp;A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Ufficio Informatica d'Ufficio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PB11659</dc:creator>
  <cp:keywords/>
  <dc:description/>
  <cp:lastModifiedBy>PB11659</cp:lastModifiedBy>
  <cp:lastPrinted>2001-10-26T09:25:33Z</cp:lastPrinted>
  <dcterms:created xsi:type="dcterms:W3CDTF">2000-05-19T08:01:38Z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