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55" tabRatio="656" activeTab="0"/>
  </bookViews>
  <sheets>
    <sheet name="1) costi totali e UE" sheetId="1" r:id="rId1"/>
    <sheet name="2) pubblico totale e UE" sheetId="2" r:id="rId2"/>
    <sheet name="3) top up costi totali" sheetId="3" r:id="rId3"/>
    <sheet name="4) top up pubblico totale" sheetId="4" r:id="rId4"/>
  </sheets>
  <definedNames/>
  <calcPr fullCalcOnLoad="1"/>
</workbook>
</file>

<file path=xl/sharedStrings.xml><?xml version="1.0" encoding="utf-8"?>
<sst xmlns="http://schemas.openxmlformats.org/spreadsheetml/2006/main" count="250" uniqueCount="48">
  <si>
    <t>misure</t>
  </si>
  <si>
    <t>totale</t>
  </si>
  <si>
    <t>spesa totale</t>
  </si>
  <si>
    <t>contributo UE</t>
  </si>
  <si>
    <t>Programma</t>
  </si>
  <si>
    <t>top-up Bolzano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</si>
  <si>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</si>
  <si>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</si>
  <si>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</si>
  <si>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</si>
  <si>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</si>
  <si>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</si>
  <si>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</si>
  <si>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</si>
  <si>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</si>
  <si>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</si>
  <si>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</si>
  <si>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</si>
  <si>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</si>
  <si>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</si>
  <si>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</si>
  <si>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</si>
  <si>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</si>
  <si>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</si>
  <si>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</si>
  <si>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</si>
  <si>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</si>
  <si>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</si>
  <si>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</si>
  <si>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</si>
  <si>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</si>
  <si>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</si>
  <si>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</si>
  <si>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</si>
  <si>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</si>
  <si>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</si>
  <si>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</si>
  <si>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</si>
  <si>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</si>
  <si>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</si>
  <si>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</si>
  <si>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</si>
  <si>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</si>
  <si>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r>
      <t xml:space="preserve">Tabella di pianificazione finanziaria: PSR della Provincia Autonoma di Bolzano - 2000/2006 - </t>
    </r>
    <r>
      <rPr>
        <b/>
        <u val="single"/>
        <sz val="10"/>
        <rFont val="Arial"/>
        <family val="2"/>
      </rPr>
      <t>spesa (costi) totali e quota FEOGA per anno e per misura</t>
    </r>
  </si>
  <si>
    <t>Risorse del FEOGA sezione Garanzia per le misure di promozione dell'adeguamento e dello sviluppo delle zone rurali (articolo 33 del regolamento (CE) n.1257/99 nelle zone (rurali) dell'obiettivo 2: 7,249 milioni di euro (55,3% del totale per l'articolo 33)</t>
  </si>
  <si>
    <r>
      <t xml:space="preserve">Tabella di pianificazione finanziaria: PSR della Provincia Autonoma di Bolzano - 2000/2006 - </t>
    </r>
    <r>
      <rPr>
        <b/>
        <u val="single"/>
        <sz val="10"/>
        <rFont val="Arial"/>
        <family val="2"/>
      </rPr>
      <t>spesa pubblica totale (UE, Stato e Bolzano) e quota FEOGA per anno e per misura</t>
    </r>
  </si>
  <si>
    <r>
      <t xml:space="preserve">Tabella di pianificazione finanziaria: PSR della Provincia Autonoma di Bolzano - 2000/2006 - TOP-UP AIUTI DI STATO - </t>
    </r>
    <r>
      <rPr>
        <b/>
        <u val="single"/>
        <sz val="10"/>
        <rFont val="Arial"/>
        <family val="2"/>
      </rPr>
      <t>spesa (costi) totali e quota Bolzano per anno e per misura</t>
    </r>
  </si>
  <si>
    <r>
      <t xml:space="preserve">Tabella di pianificazione finanziaria: PSR della Provincia Autonoma di Bolzano - 2000/2006 - TOP-UP AIUTI DI STATO - </t>
    </r>
    <r>
      <rPr>
        <b/>
        <u val="single"/>
        <sz val="10"/>
        <rFont val="Arial"/>
        <family val="2"/>
      </rPr>
      <t>spesa pubblica totale (Bolzano) e quota Bolzano per anno e per misura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</si>
</sst>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8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/>
    </xf>
    <xf numFmtId="173" fontId="1" fillId="0" borderId="1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173" fontId="1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73" fontId="3" fillId="0" borderId="1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73" fontId="1" fillId="0" borderId="0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173" fontId="1" fillId="2" borderId="5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tabSelected="1" workbookViewId="0" topLeftCell="A1">
      <selection activeCell="A2" sqref="A2"/>
    </sheetView>
  </sheetViews>
  <sheetFormatPr defaultColWidth="9.140625" defaultRowHeight="12"/>
  <cols>
    <col min="1" max="1" width="6.8515625" style="1" customWidth="1"/>
    <col min="2" max="2" width="30.00390625" style="1" customWidth="1"/>
    <col min="3" max="18" width="10.00390625" style="1" customWidth="1"/>
    <col min="19" max="16384" width="9.140625" style="1" customWidth="1"/>
  </cols>
  <sheetData>
    <row r="1" ht="12.75">
      <c r="A1" s="1" t="s">
        <v>43</v>
      </c>
    </row>
    <row r="3" spans="1:18" s="2" customFormat="1" ht="12.75">
      <c r="A3" s="44"/>
      <c r="B3" s="45"/>
      <c r="C3" s="52" t="s">
        <v>7</v>
      </c>
      <c r="D3" s="52"/>
      <c r="E3" s="53" t="s">
        <v>7</v>
      </c>
      <c r="F3" s="52"/>
      <c r="G3" s="53" t="s">
        <v>7</v>
      </c>
      <c r="H3" s="52"/>
      <c r="I3" s="53" t="s">
        <v>7</v>
      </c>
      <c r="J3" s="52"/>
      <c r="K3" s="53" t="s">
        <v>7</v>
      </c>
      <c r="L3" s="52"/>
      <c r="M3" s="53" t="s">
        <v>7</v>
      </c>
      <c r="N3" s="52"/>
      <c r="O3" s="53" t="s">
        <v>7</v>
      </c>
      <c r="P3" s="54"/>
      <c r="Q3" s="52" t="s">
        <v>1</v>
      </c>
      <c r="R3" s="54"/>
    </row>
    <row r="4" spans="1:18" s="2" customFormat="1" ht="12.75">
      <c r="A4" s="46"/>
      <c r="B4" s="47" t="s">
        <v>0</v>
      </c>
      <c r="C4" s="55">
        <v>2000</v>
      </c>
      <c r="D4" s="55"/>
      <c r="E4" s="56">
        <v>2001</v>
      </c>
      <c r="F4" s="57"/>
      <c r="G4" s="55">
        <v>2002</v>
      </c>
      <c r="H4" s="55"/>
      <c r="I4" s="56">
        <v>2003</v>
      </c>
      <c r="J4" s="57"/>
      <c r="K4" s="55">
        <v>2004</v>
      </c>
      <c r="L4" s="55"/>
      <c r="M4" s="56">
        <v>2005</v>
      </c>
      <c r="N4" s="57"/>
      <c r="O4" s="56">
        <v>2006</v>
      </c>
      <c r="P4" s="57"/>
      <c r="Q4" s="58"/>
      <c r="R4" s="59"/>
    </row>
    <row r="5" spans="1:18" ht="25.5">
      <c r="A5" s="39"/>
      <c r="B5" s="40"/>
      <c r="C5" s="41" t="s">
        <v>2</v>
      </c>
      <c r="D5" s="41" t="s">
        <v>3</v>
      </c>
      <c r="E5" s="41" t="s">
        <v>2</v>
      </c>
      <c r="F5" s="41" t="s">
        <v>3</v>
      </c>
      <c r="G5" s="41" t="s">
        <v>2</v>
      </c>
      <c r="H5" s="41" t="s">
        <v>3</v>
      </c>
      <c r="I5" s="41" t="s">
        <v>2</v>
      </c>
      <c r="J5" s="41" t="s">
        <v>3</v>
      </c>
      <c r="K5" s="41" t="s">
        <v>2</v>
      </c>
      <c r="L5" s="41" t="s">
        <v>3</v>
      </c>
      <c r="M5" s="41" t="s">
        <v>2</v>
      </c>
      <c r="N5" s="41" t="s">
        <v>3</v>
      </c>
      <c r="O5" s="41" t="s">
        <v>2</v>
      </c>
      <c r="P5" s="41" t="s">
        <v>3</v>
      </c>
      <c r="Q5" s="41" t="s">
        <v>2</v>
      </c>
      <c r="R5" s="41" t="s">
        <v>3</v>
      </c>
    </row>
    <row r="6" spans="1:19" s="8" customFormat="1" ht="21">
      <c r="A6" s="27">
        <v>1</v>
      </c>
      <c r="B6" s="13" t="s">
        <v>15</v>
      </c>
      <c r="C6" s="19">
        <v>0</v>
      </c>
      <c r="D6" s="19">
        <v>0</v>
      </c>
      <c r="E6" s="19">
        <f>6.073-1</f>
        <v>5.073</v>
      </c>
      <c r="F6" s="19">
        <f>+E6*0.15</f>
        <v>0.76095</v>
      </c>
      <c r="G6" s="19">
        <f>6.83-1</f>
        <v>5.83</v>
      </c>
      <c r="H6" s="19">
        <f>+G6*0.15</f>
        <v>0.8744999999999999</v>
      </c>
      <c r="I6" s="19">
        <f>7.235-1</f>
        <v>6.235</v>
      </c>
      <c r="J6" s="19">
        <f>+I6*0.15</f>
        <v>0.93525</v>
      </c>
      <c r="K6" s="19">
        <f>9.905-1</f>
        <v>8.905</v>
      </c>
      <c r="L6" s="19">
        <f>+K6*0.15</f>
        <v>1.3357499999999998</v>
      </c>
      <c r="M6" s="19">
        <f>9.859-1</f>
        <v>8.859</v>
      </c>
      <c r="N6" s="19">
        <f>+M6*0.15</f>
        <v>1.3288499999999999</v>
      </c>
      <c r="O6" s="19">
        <f>10.098-1</f>
        <v>9.098</v>
      </c>
      <c r="P6" s="19">
        <f>+O6*0.15</f>
        <v>1.3647</v>
      </c>
      <c r="Q6" s="19">
        <f>+O6+M6+K6+I6+G6+E6+C6</f>
        <v>44</v>
      </c>
      <c r="R6" s="19">
        <f>+P6+N6+L6+J6+H6+F6+D6</f>
        <v>6.6000000000000005</v>
      </c>
      <c r="S6" s="20"/>
    </row>
    <row r="7" spans="1:18" ht="21">
      <c r="A7" s="24">
        <v>2</v>
      </c>
      <c r="B7" s="13" t="s">
        <v>16</v>
      </c>
      <c r="C7" s="5">
        <v>0</v>
      </c>
      <c r="D7" s="5">
        <v>0</v>
      </c>
      <c r="E7" s="5">
        <v>0.583</v>
      </c>
      <c r="F7" s="5">
        <v>0.292</v>
      </c>
      <c r="G7" s="5">
        <v>0.583</v>
      </c>
      <c r="H7" s="5">
        <v>0.292</v>
      </c>
      <c r="I7" s="5">
        <v>0.583</v>
      </c>
      <c r="J7" s="5">
        <v>0.292</v>
      </c>
      <c r="K7" s="5">
        <v>0.583</v>
      </c>
      <c r="L7" s="5">
        <v>0.292</v>
      </c>
      <c r="M7" s="5">
        <v>0.583</v>
      </c>
      <c r="N7" s="5">
        <v>0.292</v>
      </c>
      <c r="O7" s="5">
        <v>0.583</v>
      </c>
      <c r="P7" s="5">
        <v>0.292</v>
      </c>
      <c r="Q7" s="5">
        <f>+O7+M7+K7+I7+G7+E7+C7+0.002</f>
        <v>3.5</v>
      </c>
      <c r="R7" s="5">
        <f>+P7+N7+L7+J7+H7+F7+D7-0.002</f>
        <v>1.75</v>
      </c>
    </row>
    <row r="8" spans="1:18" ht="12.75">
      <c r="A8" s="24">
        <v>3</v>
      </c>
      <c r="B8" s="13" t="s">
        <v>17</v>
      </c>
      <c r="C8" s="5">
        <v>0</v>
      </c>
      <c r="D8" s="5">
        <v>0</v>
      </c>
      <c r="E8" s="5">
        <v>0</v>
      </c>
      <c r="F8" s="5">
        <v>0</v>
      </c>
      <c r="G8" s="5">
        <v>0.15</v>
      </c>
      <c r="H8" s="5">
        <v>0.075</v>
      </c>
      <c r="I8" s="5">
        <v>0.15</v>
      </c>
      <c r="J8" s="5">
        <v>0.075</v>
      </c>
      <c r="K8" s="5">
        <v>0.15</v>
      </c>
      <c r="L8" s="5">
        <v>0.075</v>
      </c>
      <c r="M8" s="5">
        <v>0.15</v>
      </c>
      <c r="N8" s="5">
        <v>0.075</v>
      </c>
      <c r="O8" s="5">
        <v>0.15</v>
      </c>
      <c r="P8" s="5">
        <v>0.075</v>
      </c>
      <c r="Q8" s="5">
        <f>+O8+M8+K8+I8+G8+E8+C8</f>
        <v>0.75</v>
      </c>
      <c r="R8" s="5">
        <f>+P8+N8+L8+J8+H8+F8+D8</f>
        <v>0.375</v>
      </c>
    </row>
    <row r="9" spans="1:18" ht="21">
      <c r="A9" s="24">
        <v>4</v>
      </c>
      <c r="B9" s="13" t="s">
        <v>18</v>
      </c>
      <c r="C9" s="5">
        <v>0</v>
      </c>
      <c r="D9" s="5">
        <v>0</v>
      </c>
      <c r="E9" s="5">
        <v>0.04</v>
      </c>
      <c r="F9" s="5">
        <v>0.013</v>
      </c>
      <c r="G9" s="5">
        <v>0.056</v>
      </c>
      <c r="H9" s="5">
        <v>0.018</v>
      </c>
      <c r="I9" s="5">
        <v>0.056</v>
      </c>
      <c r="J9" s="5">
        <v>0.018</v>
      </c>
      <c r="K9" s="5">
        <v>0.056</v>
      </c>
      <c r="L9" s="5">
        <v>0.018</v>
      </c>
      <c r="M9" s="5">
        <v>0.056</v>
      </c>
      <c r="N9" s="5">
        <v>0.018</v>
      </c>
      <c r="O9" s="5">
        <v>0.056</v>
      </c>
      <c r="P9" s="5">
        <v>0.018</v>
      </c>
      <c r="Q9" s="5">
        <f>+O9+M9+K9+I9+G9+E9+C9-0.002</f>
        <v>0.318</v>
      </c>
      <c r="R9" s="5">
        <f>+P9+N9+L9+J9+H9+F9+D9-0.003</f>
        <v>0.09999999999999999</v>
      </c>
    </row>
    <row r="10" spans="1:19" s="8" customFormat="1" ht="42">
      <c r="A10" s="27" t="s">
        <v>22</v>
      </c>
      <c r="B10" s="13" t="s">
        <v>40</v>
      </c>
      <c r="C10" s="19">
        <v>0</v>
      </c>
      <c r="D10" s="19">
        <v>0</v>
      </c>
      <c r="E10" s="19">
        <f>SUM(E11:E12)</f>
        <v>1.9</v>
      </c>
      <c r="F10" s="19">
        <f aca="true" t="shared" si="0" ref="F10:P10">SUM(F11:F12)</f>
        <v>0.375</v>
      </c>
      <c r="G10" s="19">
        <f t="shared" si="0"/>
        <v>1.9</v>
      </c>
      <c r="H10" s="19">
        <f t="shared" si="0"/>
        <v>0.375</v>
      </c>
      <c r="I10" s="19">
        <f t="shared" si="0"/>
        <v>1.9</v>
      </c>
      <c r="J10" s="19">
        <f t="shared" si="0"/>
        <v>0.375</v>
      </c>
      <c r="K10" s="19">
        <f t="shared" si="0"/>
        <v>1.9</v>
      </c>
      <c r="L10" s="19">
        <f t="shared" si="0"/>
        <v>0.375</v>
      </c>
      <c r="M10" s="19">
        <f t="shared" si="0"/>
        <v>1.9</v>
      </c>
      <c r="N10" s="19">
        <f t="shared" si="0"/>
        <v>0.375</v>
      </c>
      <c r="O10" s="19">
        <f t="shared" si="0"/>
        <v>1.9</v>
      </c>
      <c r="P10" s="19">
        <f t="shared" si="0"/>
        <v>0.375</v>
      </c>
      <c r="Q10" s="19">
        <f aca="true" t="shared" si="1" ref="Q10:R15">SUM(O10+M10+K10+I10+G10+E10)</f>
        <v>11.4</v>
      </c>
      <c r="R10" s="19">
        <f t="shared" si="1"/>
        <v>2.25</v>
      </c>
      <c r="S10" s="20"/>
    </row>
    <row r="11" spans="1:18" s="8" customFormat="1" ht="16.5" customHeight="1">
      <c r="A11" s="26" t="s">
        <v>23</v>
      </c>
      <c r="B11" s="25" t="s">
        <v>25</v>
      </c>
      <c r="C11" s="19"/>
      <c r="D11" s="19"/>
      <c r="E11" s="19">
        <v>1</v>
      </c>
      <c r="F11" s="19">
        <f>+E11*0.15</f>
        <v>0.15</v>
      </c>
      <c r="G11" s="19">
        <v>1</v>
      </c>
      <c r="H11" s="19">
        <f>+G11*0.15</f>
        <v>0.15</v>
      </c>
      <c r="I11" s="19">
        <v>1</v>
      </c>
      <c r="J11" s="19">
        <f>+I11*0.15</f>
        <v>0.15</v>
      </c>
      <c r="K11" s="19">
        <v>1</v>
      </c>
      <c r="L11" s="19">
        <f>+K11*0.15</f>
        <v>0.15</v>
      </c>
      <c r="M11" s="19">
        <v>1</v>
      </c>
      <c r="N11" s="19">
        <f>+M11*0.15</f>
        <v>0.15</v>
      </c>
      <c r="O11" s="19">
        <v>1</v>
      </c>
      <c r="P11" s="19">
        <f>+O11*0.15</f>
        <v>0.15</v>
      </c>
      <c r="Q11" s="19">
        <f t="shared" si="1"/>
        <v>6</v>
      </c>
      <c r="R11" s="19">
        <f t="shared" si="1"/>
        <v>0.9</v>
      </c>
    </row>
    <row r="12" spans="1:19" s="8" customFormat="1" ht="33.75">
      <c r="A12" s="26" t="s">
        <v>24</v>
      </c>
      <c r="B12" s="25" t="s">
        <v>41</v>
      </c>
      <c r="C12" s="19"/>
      <c r="D12" s="19"/>
      <c r="E12" s="19">
        <f>0.9</f>
        <v>0.9</v>
      </c>
      <c r="F12" s="19">
        <v>0.225</v>
      </c>
      <c r="G12" s="19">
        <f>0.9</f>
        <v>0.9</v>
      </c>
      <c r="H12" s="19">
        <v>0.225</v>
      </c>
      <c r="I12" s="19">
        <f>0.9</f>
        <v>0.9</v>
      </c>
      <c r="J12" s="19">
        <v>0.225</v>
      </c>
      <c r="K12" s="19">
        <f>0.9</f>
        <v>0.9</v>
      </c>
      <c r="L12" s="19">
        <v>0.225</v>
      </c>
      <c r="M12" s="19">
        <f>0.9</f>
        <v>0.9</v>
      </c>
      <c r="N12" s="19">
        <v>0.225</v>
      </c>
      <c r="O12" s="19">
        <f>0.9</f>
        <v>0.9</v>
      </c>
      <c r="P12" s="19">
        <v>0.225</v>
      </c>
      <c r="Q12" s="19">
        <f t="shared" si="1"/>
        <v>5.4</v>
      </c>
      <c r="R12" s="19">
        <f t="shared" si="1"/>
        <v>1.35</v>
      </c>
      <c r="S12" s="20"/>
    </row>
    <row r="13" spans="1:19" ht="52.5">
      <c r="A13" s="24" t="s">
        <v>12</v>
      </c>
      <c r="B13" s="13" t="s">
        <v>19</v>
      </c>
      <c r="C13" s="19">
        <v>0</v>
      </c>
      <c r="D13" s="19">
        <v>0</v>
      </c>
      <c r="E13" s="19">
        <f aca="true" t="shared" si="2" ref="E13:P13">SUM(E14:E15)</f>
        <v>0.9</v>
      </c>
      <c r="F13" s="19">
        <f t="shared" si="2"/>
        <v>0.15333333333333332</v>
      </c>
      <c r="G13" s="19">
        <f t="shared" si="2"/>
        <v>0.9</v>
      </c>
      <c r="H13" s="19">
        <f t="shared" si="2"/>
        <v>0.15333333333333332</v>
      </c>
      <c r="I13" s="19">
        <f t="shared" si="2"/>
        <v>0.9</v>
      </c>
      <c r="J13" s="19">
        <f t="shared" si="2"/>
        <v>0.15333333333333332</v>
      </c>
      <c r="K13" s="19">
        <f t="shared" si="2"/>
        <v>0.9</v>
      </c>
      <c r="L13" s="19">
        <f t="shared" si="2"/>
        <v>0.15333333333333332</v>
      </c>
      <c r="M13" s="19">
        <f t="shared" si="2"/>
        <v>0.9</v>
      </c>
      <c r="N13" s="19">
        <f t="shared" si="2"/>
        <v>0.15333333333333332</v>
      </c>
      <c r="O13" s="19">
        <f t="shared" si="2"/>
        <v>0.9</v>
      </c>
      <c r="P13" s="19">
        <f t="shared" si="2"/>
        <v>0.15333333333333332</v>
      </c>
      <c r="Q13" s="19">
        <f t="shared" si="1"/>
        <v>5.4</v>
      </c>
      <c r="R13" s="19">
        <f t="shared" si="1"/>
        <v>0.9199999999999999</v>
      </c>
      <c r="S13" s="29"/>
    </row>
    <row r="14" spans="1:18" ht="45">
      <c r="A14" s="22" t="s">
        <v>13</v>
      </c>
      <c r="B14" s="25" t="s">
        <v>20</v>
      </c>
      <c r="C14" s="5"/>
      <c r="D14" s="5"/>
      <c r="E14" s="5">
        <f>0.9*4.3/5.4</f>
        <v>0.7166666666666667</v>
      </c>
      <c r="F14" s="5">
        <f>+E14*0.15</f>
        <v>0.1075</v>
      </c>
      <c r="G14" s="5">
        <f>0.9*4.3/5.4</f>
        <v>0.7166666666666667</v>
      </c>
      <c r="H14" s="5">
        <f>+G14*0.15</f>
        <v>0.1075</v>
      </c>
      <c r="I14" s="5">
        <f>0.9*4.3/5.4</f>
        <v>0.7166666666666667</v>
      </c>
      <c r="J14" s="5">
        <f>+I14*0.15</f>
        <v>0.1075</v>
      </c>
      <c r="K14" s="5">
        <f>0.9*4.3/5.4</f>
        <v>0.7166666666666667</v>
      </c>
      <c r="L14" s="5">
        <f>+K14*0.15</f>
        <v>0.1075</v>
      </c>
      <c r="M14" s="5">
        <f>0.9*4.3/5.4</f>
        <v>0.7166666666666667</v>
      </c>
      <c r="N14" s="5">
        <f>+M14*0.15</f>
        <v>0.1075</v>
      </c>
      <c r="O14" s="5">
        <f>0.9*4.3/5.4</f>
        <v>0.7166666666666667</v>
      </c>
      <c r="P14" s="5">
        <f>+O14*0.15</f>
        <v>0.1075</v>
      </c>
      <c r="Q14" s="19">
        <f t="shared" si="1"/>
        <v>4.3</v>
      </c>
      <c r="R14" s="19">
        <f t="shared" si="1"/>
        <v>0.645</v>
      </c>
    </row>
    <row r="15" spans="1:18" ht="67.5">
      <c r="A15" s="22" t="s">
        <v>14</v>
      </c>
      <c r="B15" s="25" t="s">
        <v>21</v>
      </c>
      <c r="C15" s="5"/>
      <c r="D15" s="5"/>
      <c r="E15" s="5">
        <f>0.9*1.1/5.4</f>
        <v>0.18333333333333335</v>
      </c>
      <c r="F15" s="5">
        <f>+E15*0.25</f>
        <v>0.04583333333333334</v>
      </c>
      <c r="G15" s="5">
        <f>0.9*1.1/5.4</f>
        <v>0.18333333333333335</v>
      </c>
      <c r="H15" s="5">
        <f>+G15*0.25</f>
        <v>0.04583333333333334</v>
      </c>
      <c r="I15" s="5">
        <f>0.9*1.1/5.4</f>
        <v>0.18333333333333335</v>
      </c>
      <c r="J15" s="5">
        <f>+I15*0.25</f>
        <v>0.04583333333333334</v>
      </c>
      <c r="K15" s="5">
        <f>0.9*1.1/5.4</f>
        <v>0.18333333333333335</v>
      </c>
      <c r="L15" s="5">
        <f>+K15*0.25</f>
        <v>0.04583333333333334</v>
      </c>
      <c r="M15" s="5">
        <f>0.9*1.1/5.4</f>
        <v>0.18333333333333335</v>
      </c>
      <c r="N15" s="5">
        <f>+M15*0.25</f>
        <v>0.04583333333333334</v>
      </c>
      <c r="O15" s="5">
        <f>0.9*1.1/5.4</f>
        <v>0.18333333333333335</v>
      </c>
      <c r="P15" s="5">
        <f>+O15*0.25</f>
        <v>0.04583333333333334</v>
      </c>
      <c r="Q15" s="19">
        <f t="shared" si="1"/>
        <v>1.1</v>
      </c>
      <c r="R15" s="19">
        <f t="shared" si="1"/>
        <v>0.275</v>
      </c>
    </row>
    <row r="16" spans="1:18" ht="31.5">
      <c r="A16" s="18"/>
      <c r="B16" s="13" t="s">
        <v>8</v>
      </c>
      <c r="C16" s="19">
        <v>1.13</v>
      </c>
      <c r="D16" s="19">
        <f>+C16/2</f>
        <v>0.565</v>
      </c>
      <c r="E16" s="19">
        <v>1.13</v>
      </c>
      <c r="F16" s="19">
        <f>+E16/2</f>
        <v>0.565</v>
      </c>
      <c r="G16" s="5"/>
      <c r="H16" s="5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f>+O16+M16+K16+I16+G16+E16+C16</f>
        <v>2.26</v>
      </c>
      <c r="R16" s="5">
        <f>+P16+N16+L16+J16+H16+F16+D16</f>
        <v>1.13</v>
      </c>
    </row>
    <row r="17" spans="1:18" ht="42">
      <c r="A17" s="15">
        <v>6</v>
      </c>
      <c r="B17" s="13" t="s">
        <v>26</v>
      </c>
      <c r="C17" s="5">
        <v>0</v>
      </c>
      <c r="D17" s="5">
        <v>0</v>
      </c>
      <c r="E17" s="5">
        <f>10.3</f>
        <v>10.3</v>
      </c>
      <c r="F17" s="5">
        <v>1.545</v>
      </c>
      <c r="G17" s="5">
        <v>10.2</v>
      </c>
      <c r="H17" s="5">
        <v>1.53</v>
      </c>
      <c r="I17" s="5">
        <v>9.885</v>
      </c>
      <c r="J17" s="5">
        <v>1.483</v>
      </c>
      <c r="K17" s="5">
        <v>9.108</v>
      </c>
      <c r="L17" s="5">
        <v>1.366</v>
      </c>
      <c r="M17" s="5">
        <v>10.107</v>
      </c>
      <c r="N17" s="5">
        <v>1.516</v>
      </c>
      <c r="O17" s="5">
        <v>10.4</v>
      </c>
      <c r="P17" s="5">
        <v>1.56</v>
      </c>
      <c r="Q17" s="5">
        <f>+O17+M17+K17+I17+G17+E17+C17</f>
        <v>60</v>
      </c>
      <c r="R17" s="5">
        <f>+P17+N17+L17+J17+H17+F17+D17</f>
        <v>9</v>
      </c>
    </row>
    <row r="18" spans="1:18" ht="31.5">
      <c r="A18" s="15">
        <v>7</v>
      </c>
      <c r="B18" s="13" t="s">
        <v>27</v>
      </c>
      <c r="C18" s="5">
        <v>0</v>
      </c>
      <c r="D18" s="5">
        <v>0</v>
      </c>
      <c r="E18" s="5">
        <v>0</v>
      </c>
      <c r="F18" s="5">
        <v>0</v>
      </c>
      <c r="G18" s="5">
        <v>0.084</v>
      </c>
      <c r="H18" s="5">
        <v>0.025</v>
      </c>
      <c r="I18" s="5">
        <v>0.19</v>
      </c>
      <c r="J18" s="5">
        <v>0.056</v>
      </c>
      <c r="K18" s="5">
        <v>0.19</v>
      </c>
      <c r="L18" s="5">
        <v>0.056</v>
      </c>
      <c r="M18" s="5">
        <v>0.19</v>
      </c>
      <c r="N18" s="5">
        <v>0.056</v>
      </c>
      <c r="O18" s="5">
        <v>0.19</v>
      </c>
      <c r="P18" s="5">
        <v>0.056</v>
      </c>
      <c r="Q18" s="5">
        <f>+O18+M18+K18+I18+G18+E18+C18</f>
        <v>0.844</v>
      </c>
      <c r="R18" s="5">
        <f>+P18+N18+L18+J18+H18+F18+D18+0.001</f>
        <v>0.25</v>
      </c>
    </row>
    <row r="19" spans="1:18" ht="12.75">
      <c r="A19" s="15">
        <v>8</v>
      </c>
      <c r="B19" s="13" t="s">
        <v>28</v>
      </c>
      <c r="C19" s="5">
        <v>0</v>
      </c>
      <c r="D19" s="5">
        <v>0</v>
      </c>
      <c r="E19" s="5">
        <v>0.075</v>
      </c>
      <c r="F19" s="5">
        <v>0.038</v>
      </c>
      <c r="G19" s="5">
        <v>0.135</v>
      </c>
      <c r="H19" s="5">
        <v>0.068</v>
      </c>
      <c r="I19" s="5">
        <v>0.135</v>
      </c>
      <c r="J19" s="5">
        <v>0.068</v>
      </c>
      <c r="K19" s="5">
        <v>0.135</v>
      </c>
      <c r="L19" s="5">
        <v>0.068</v>
      </c>
      <c r="M19" s="5">
        <v>0.135</v>
      </c>
      <c r="N19" s="5">
        <v>0.068</v>
      </c>
      <c r="O19" s="5">
        <v>0.135</v>
      </c>
      <c r="P19" s="5">
        <v>0.068</v>
      </c>
      <c r="Q19" s="5">
        <f>+O19+M19+K19+I19+G19+E19+C19</f>
        <v>0.75</v>
      </c>
      <c r="R19" s="5">
        <f>+P19+N19+L19+J19+H19+F19+D19-0.003</f>
        <v>0.375</v>
      </c>
    </row>
    <row r="20" spans="1:18" ht="52.5">
      <c r="A20" s="15">
        <v>9</v>
      </c>
      <c r="B20" s="13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0.162</v>
      </c>
      <c r="H20" s="5">
        <v>0.03</v>
      </c>
      <c r="I20" s="5">
        <v>0.365</v>
      </c>
      <c r="J20" s="5">
        <v>0.067</v>
      </c>
      <c r="K20" s="5">
        <v>0.365</v>
      </c>
      <c r="L20" s="5">
        <v>0.067</v>
      </c>
      <c r="M20" s="5">
        <v>0.365</v>
      </c>
      <c r="N20" s="5">
        <v>0.067</v>
      </c>
      <c r="O20" s="5">
        <v>0.365</v>
      </c>
      <c r="P20" s="5">
        <v>0.067</v>
      </c>
      <c r="Q20" s="5">
        <f>+O20+M20+K20+I20+G20+E20+C20-0.002</f>
        <v>1.6199999999999999</v>
      </c>
      <c r="R20" s="5">
        <f>+P20+N20+L20+J20+H20+F20+D20+0.002</f>
        <v>0.30000000000000004</v>
      </c>
    </row>
    <row r="21" spans="1:18" ht="21">
      <c r="A21" s="15">
        <v>10</v>
      </c>
      <c r="B21" s="13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0.122</v>
      </c>
      <c r="H21" s="5">
        <v>0.036</v>
      </c>
      <c r="I21" s="5">
        <v>0.223</v>
      </c>
      <c r="J21" s="5">
        <v>0.066</v>
      </c>
      <c r="K21" s="5">
        <v>0.223</v>
      </c>
      <c r="L21" s="5">
        <v>0.066</v>
      </c>
      <c r="M21" s="5">
        <v>0.223</v>
      </c>
      <c r="N21" s="5">
        <v>0.066</v>
      </c>
      <c r="O21" s="5">
        <v>0.223</v>
      </c>
      <c r="P21" s="5">
        <v>0.066</v>
      </c>
      <c r="Q21" s="5">
        <f>+O21+M21+K21+I21+G21+E21+C21-0.001</f>
        <v>1.0130000000000001</v>
      </c>
      <c r="R21" s="5">
        <f>+P21+N21+L21+J21+H21+F21+D21</f>
        <v>0.3</v>
      </c>
    </row>
    <row r="22" spans="1:18" ht="31.5">
      <c r="A22" s="15">
        <v>11</v>
      </c>
      <c r="B22" s="13" t="s">
        <v>31</v>
      </c>
      <c r="C22" s="5">
        <v>0</v>
      </c>
      <c r="D22" s="5">
        <v>0</v>
      </c>
      <c r="E22" s="5">
        <v>0.911</v>
      </c>
      <c r="F22" s="5">
        <v>0.27</v>
      </c>
      <c r="G22" s="5">
        <v>2.369</v>
      </c>
      <c r="H22" s="5">
        <v>0.701</v>
      </c>
      <c r="I22" s="5">
        <v>2.49</v>
      </c>
      <c r="J22" s="5">
        <v>0.738</v>
      </c>
      <c r="K22" s="5">
        <v>2.491</v>
      </c>
      <c r="L22" s="5">
        <v>0.738</v>
      </c>
      <c r="M22" s="5">
        <v>1.883</v>
      </c>
      <c r="N22" s="5">
        <v>0.558</v>
      </c>
      <c r="O22" s="5">
        <v>2.005</v>
      </c>
      <c r="P22" s="5">
        <v>0.595</v>
      </c>
      <c r="Q22" s="5">
        <f>+O22+M22+K22+I22+G22+E22+C22</f>
        <v>12.149</v>
      </c>
      <c r="R22" s="5">
        <f>+P22+N22+L22+J22+H22+F22+D22</f>
        <v>3.6</v>
      </c>
    </row>
    <row r="23" spans="1:18" ht="21">
      <c r="A23" s="15">
        <v>12</v>
      </c>
      <c r="B23" s="13" t="s">
        <v>32</v>
      </c>
      <c r="C23" s="5">
        <v>0</v>
      </c>
      <c r="D23" s="5">
        <v>0</v>
      </c>
      <c r="E23" s="5">
        <v>4.286</v>
      </c>
      <c r="F23" s="5">
        <v>1</v>
      </c>
      <c r="G23" s="5">
        <v>3.283</v>
      </c>
      <c r="H23" s="5">
        <v>0.766</v>
      </c>
      <c r="I23" s="5">
        <v>3.984</v>
      </c>
      <c r="J23" s="5">
        <v>0.929</v>
      </c>
      <c r="K23" s="5">
        <v>3.985</v>
      </c>
      <c r="L23" s="5">
        <v>0.93</v>
      </c>
      <c r="M23" s="5">
        <v>4.778</v>
      </c>
      <c r="N23" s="5">
        <v>1.115</v>
      </c>
      <c r="O23" s="5">
        <v>5.647</v>
      </c>
      <c r="P23" s="5">
        <v>1.319</v>
      </c>
      <c r="Q23" s="5">
        <f>+O23+M23+K23+I23+G23+E23+C23</f>
        <v>25.963</v>
      </c>
      <c r="R23" s="5">
        <f>+P23+N23+L23+J23+H23+F23+D23-0.001</f>
        <v>6.058</v>
      </c>
    </row>
    <row r="24" spans="1:19" s="8" customFormat="1" ht="21">
      <c r="A24" s="18">
        <v>13</v>
      </c>
      <c r="B24" s="13" t="s">
        <v>33</v>
      </c>
      <c r="C24" s="21">
        <v>0</v>
      </c>
      <c r="D24" s="19">
        <v>0</v>
      </c>
      <c r="E24" s="19">
        <v>0.75</v>
      </c>
      <c r="F24" s="19">
        <f>E24/2</f>
        <v>0.375</v>
      </c>
      <c r="G24" s="19">
        <v>0.75</v>
      </c>
      <c r="H24" s="19">
        <f>G24/2</f>
        <v>0.375</v>
      </c>
      <c r="I24" s="19">
        <v>0.75</v>
      </c>
      <c r="J24" s="19">
        <f>I24/2</f>
        <v>0.375</v>
      </c>
      <c r="K24" s="19">
        <v>15.75</v>
      </c>
      <c r="L24" s="19">
        <v>7.875</v>
      </c>
      <c r="M24" s="19">
        <v>15.75</v>
      </c>
      <c r="N24" s="19">
        <v>7.875</v>
      </c>
      <c r="O24" s="19">
        <v>15.75</v>
      </c>
      <c r="P24" s="19">
        <v>7.875</v>
      </c>
      <c r="Q24" s="19">
        <f>O24+M24+K24+I24+G24+E24+C24</f>
        <v>49.5</v>
      </c>
      <c r="R24" s="19">
        <f>P24+N24+L24+J24+H24+F24+D24</f>
        <v>24.75</v>
      </c>
      <c r="S24" s="20"/>
    </row>
    <row r="25" spans="1:21" s="8" customFormat="1" ht="12.75">
      <c r="A25" s="18"/>
      <c r="B25" s="13" t="s">
        <v>6</v>
      </c>
      <c r="C25" s="21">
        <v>30.18</v>
      </c>
      <c r="D25" s="19">
        <f>+C25/2</f>
        <v>15.09</v>
      </c>
      <c r="E25" s="19">
        <f>15+(31.64-30.18-0.12)</f>
        <v>16.34</v>
      </c>
      <c r="F25" s="19">
        <f>+E25/2</f>
        <v>8.17</v>
      </c>
      <c r="G25" s="19">
        <v>15</v>
      </c>
      <c r="H25" s="19">
        <f>G25/2</f>
        <v>7.5</v>
      </c>
      <c r="I25" s="19">
        <v>15</v>
      </c>
      <c r="J25" s="19">
        <f>I25/2</f>
        <v>7.5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>O25+M25+K25+I25+G25+E25+C25</f>
        <v>76.52000000000001</v>
      </c>
      <c r="R25" s="19">
        <f>P25+N25+L25+J25+H25+F25+D25</f>
        <v>38.260000000000005</v>
      </c>
      <c r="S25" s="20"/>
      <c r="T25" s="20"/>
      <c r="U25" s="20"/>
    </row>
    <row r="26" spans="1:18" ht="31.5">
      <c r="A26" s="15">
        <v>14</v>
      </c>
      <c r="B26" s="13" t="s">
        <v>34</v>
      </c>
      <c r="C26" s="5">
        <v>0</v>
      </c>
      <c r="D26" s="5">
        <v>0</v>
      </c>
      <c r="E26" s="5">
        <v>4.13</v>
      </c>
      <c r="F26" s="5">
        <v>2.065</v>
      </c>
      <c r="G26" s="5">
        <v>4.504</v>
      </c>
      <c r="H26" s="5">
        <v>2.252</v>
      </c>
      <c r="I26" s="5">
        <v>5.434</v>
      </c>
      <c r="J26" s="5">
        <v>2.717</v>
      </c>
      <c r="K26" s="5">
        <v>5.432</v>
      </c>
      <c r="L26" s="5">
        <v>2.716</v>
      </c>
      <c r="M26" s="5">
        <v>5.442</v>
      </c>
      <c r="N26" s="5">
        <v>2.721</v>
      </c>
      <c r="O26" s="5">
        <v>5.418</v>
      </c>
      <c r="P26" s="5">
        <v>2.709</v>
      </c>
      <c r="Q26" s="5">
        <f>SUM(C26+E26+G26+I26+K26+M26+O26)+0.001</f>
        <v>30.361</v>
      </c>
      <c r="R26" s="5">
        <f>SUM(D26+F26+H26+J26+L26+N26+P26)</f>
        <v>15.18</v>
      </c>
    </row>
    <row r="27" spans="1:18" ht="52.5">
      <c r="A27" s="15" t="s">
        <v>9</v>
      </c>
      <c r="B27" s="13" t="s">
        <v>35</v>
      </c>
      <c r="C27" s="5">
        <v>0</v>
      </c>
      <c r="D27" s="5">
        <v>0</v>
      </c>
      <c r="E27" s="5">
        <v>0</v>
      </c>
      <c r="F27" s="5">
        <v>0</v>
      </c>
      <c r="G27" s="5">
        <v>0.132</v>
      </c>
      <c r="H27" s="5">
        <v>0.024</v>
      </c>
      <c r="I27" s="5">
        <v>0.297</v>
      </c>
      <c r="J27" s="5">
        <v>0.055</v>
      </c>
      <c r="K27" s="5">
        <v>0.297</v>
      </c>
      <c r="L27" s="5">
        <v>0.055</v>
      </c>
      <c r="M27" s="5">
        <v>0.297</v>
      </c>
      <c r="N27" s="5">
        <v>0.055</v>
      </c>
      <c r="O27" s="5">
        <v>0.297</v>
      </c>
      <c r="P27" s="5">
        <v>0.055</v>
      </c>
      <c r="Q27" s="5">
        <f>+O27+M27+K27+I27+G27+E27+C27-0.001</f>
        <v>1.319</v>
      </c>
      <c r="R27" s="5">
        <f>+P27+N27+L27+J27+H27+F27+D27</f>
        <v>0.244</v>
      </c>
    </row>
    <row r="28" spans="1:20" ht="52.5">
      <c r="A28" s="15" t="s">
        <v>37</v>
      </c>
      <c r="B28" s="13" t="s">
        <v>36</v>
      </c>
      <c r="C28" s="5">
        <f>SUM(C29:C30)</f>
        <v>0</v>
      </c>
      <c r="D28" s="5">
        <f aca="true" t="shared" si="3" ref="D28:P28">SUM(D29:D30)</f>
        <v>0</v>
      </c>
      <c r="E28" s="5">
        <f t="shared" si="3"/>
        <v>5.6782328671615465</v>
      </c>
      <c r="F28" s="5">
        <f t="shared" si="3"/>
        <v>1.204737406881844</v>
      </c>
      <c r="G28" s="5">
        <f t="shared" si="3"/>
        <v>4.83851388262314</v>
      </c>
      <c r="H28" s="5">
        <f t="shared" si="3"/>
        <v>1.026576190952713</v>
      </c>
      <c r="I28" s="5">
        <f t="shared" si="3"/>
        <v>4.89160759545585</v>
      </c>
      <c r="J28" s="5">
        <f t="shared" si="3"/>
        <v>1.037840960013124</v>
      </c>
      <c r="K28" s="5">
        <f t="shared" si="3"/>
        <v>5.3484929664110235</v>
      </c>
      <c r="L28" s="5">
        <f t="shared" si="3"/>
        <v>1.1347772621908705</v>
      </c>
      <c r="M28" s="5">
        <f t="shared" si="3"/>
        <v>6.463460935897961</v>
      </c>
      <c r="N28" s="5">
        <f t="shared" si="3"/>
        <v>1.3723374124595005</v>
      </c>
      <c r="O28" s="5">
        <f t="shared" si="3"/>
        <v>6.847691752450478</v>
      </c>
      <c r="P28" s="5">
        <f t="shared" si="3"/>
        <v>1.451858767501948</v>
      </c>
      <c r="Q28" s="5">
        <f>+O28+M28+K28+I28+G28+E28+C28</f>
        <v>34.068</v>
      </c>
      <c r="R28" s="5">
        <f>+P28+N28+L28+J28+H28+F28+D28</f>
        <v>7.228128</v>
      </c>
      <c r="T28" s="29"/>
    </row>
    <row r="29" spans="1:18" s="8" customFormat="1" ht="45">
      <c r="A29" s="18" t="s">
        <v>10</v>
      </c>
      <c r="B29" s="25" t="s">
        <v>39</v>
      </c>
      <c r="C29" s="19"/>
      <c r="D29" s="19"/>
      <c r="E29" s="19">
        <f>13.068*4.064/24.383</f>
        <v>2.178089324529385</v>
      </c>
      <c r="F29" s="19">
        <f>+E29*0.296</f>
        <v>0.644714440060698</v>
      </c>
      <c r="G29" s="19">
        <f>13.068*3.463/24.383</f>
        <v>1.8559850715662551</v>
      </c>
      <c r="H29" s="19">
        <f>+G29*0.296</f>
        <v>0.5493715811836115</v>
      </c>
      <c r="I29" s="19">
        <f>13.068*3.501/24.383</f>
        <v>1.876351064266087</v>
      </c>
      <c r="J29" s="19">
        <f>+I29*0.296</f>
        <v>0.5553999150227618</v>
      </c>
      <c r="K29" s="19">
        <f>13.068*3.828/24.383</f>
        <v>2.051605790919903</v>
      </c>
      <c r="L29" s="19">
        <f>+K29*0.296</f>
        <v>0.6072753141122912</v>
      </c>
      <c r="M29" s="19">
        <f>13.068*4.626/24.383</f>
        <v>2.479291637616372</v>
      </c>
      <c r="N29" s="19">
        <f>+M29*0.296</f>
        <v>0.7338703247344461</v>
      </c>
      <c r="O29" s="19">
        <f>13.068*4.901/24.383</f>
        <v>2.6266771111019973</v>
      </c>
      <c r="P29" s="19">
        <f>+O29*0.296</f>
        <v>0.7774964248861912</v>
      </c>
      <c r="Q29" s="19">
        <f>+O29+M29+K29+I29+G29+E29+C29</f>
        <v>13.068</v>
      </c>
      <c r="R29" s="19">
        <f>+P29+N29+L29+J29+H29+F29+D29</f>
        <v>3.868128</v>
      </c>
    </row>
    <row r="30" spans="1:18" s="8" customFormat="1" ht="22.5">
      <c r="A30" s="18" t="s">
        <v>11</v>
      </c>
      <c r="B30" s="25" t="s">
        <v>38</v>
      </c>
      <c r="C30" s="19"/>
      <c r="D30" s="19"/>
      <c r="E30" s="19">
        <f>21*4.064/24.383</f>
        <v>3.5001435426321614</v>
      </c>
      <c r="F30" s="19">
        <f>+E30*0.16</f>
        <v>0.5600229668211458</v>
      </c>
      <c r="G30" s="19">
        <f>21*3.463/24.383</f>
        <v>2.982528811056884</v>
      </c>
      <c r="H30" s="19">
        <f>+G30*0.16</f>
        <v>0.47720460976910145</v>
      </c>
      <c r="I30" s="19">
        <f>21*3.501/24.383</f>
        <v>3.0152565311897637</v>
      </c>
      <c r="J30" s="19">
        <f>+I30*0.16</f>
        <v>0.4824410449903622</v>
      </c>
      <c r="K30" s="19">
        <f>21*3.828/24.383</f>
        <v>3.2968871754911206</v>
      </c>
      <c r="L30" s="19">
        <f>+K30*0.16</f>
        <v>0.5275019480785793</v>
      </c>
      <c r="M30" s="19">
        <f>21*4.626/24.383</f>
        <v>3.9841692982815897</v>
      </c>
      <c r="N30" s="19">
        <f>+M30*0.16+0.001</f>
        <v>0.6384670877250543</v>
      </c>
      <c r="O30" s="19">
        <f>21*4.901/24.383</f>
        <v>4.22101464134848</v>
      </c>
      <c r="P30" s="19">
        <f>+O30*0.16-0.001</f>
        <v>0.6743623426157569</v>
      </c>
      <c r="Q30" s="19">
        <f>+O30+M30+K30+I30+G30+E30+C30</f>
        <v>21</v>
      </c>
      <c r="R30" s="19">
        <f>+P30+N30+L30+J30+H30+F30+D30</f>
        <v>3.36</v>
      </c>
    </row>
    <row r="31" spans="1:18" s="7" customFormat="1" ht="12.75">
      <c r="A31" s="16"/>
      <c r="B31" s="30" t="s">
        <v>4</v>
      </c>
      <c r="C31" s="28">
        <f>SUM(C28+C27+C26+C25+C24+C23+C22+C21+C20+C19+C18+C17+C16+C13+C10+C9+C8+C7+C6)</f>
        <v>31.31</v>
      </c>
      <c r="D31" s="28">
        <f>SUM(D28+D27+D26+D25+D24+D23+D22+D21+D20+D19+D18+D17+D16+D13+D10+D9+D8+D7+D6)</f>
        <v>15.655</v>
      </c>
      <c r="E31" s="28">
        <f>SUM(E28+E27+E26+E25+E24+E23+E22+E21+E20+E19+E18+E17+E16+E13+E10+E9+E8+E7+E6)</f>
        <v>52.096232867161554</v>
      </c>
      <c r="F31" s="6">
        <f>SUM(F28+F27+F26+F25+F24+F23+F22+F21+F20+F19+F18+F17+F16+F13+F10+F9+F8+F7+F6)-0.002</f>
        <v>16.825020740215177</v>
      </c>
      <c r="G31" s="28">
        <f>SUM(G28+G27+G26+G25+G24+G23+G22+G21+G20+G19+G18+G17+G16+G13+G10+G9+G8+G7+G6)</f>
        <v>50.99851388262313</v>
      </c>
      <c r="H31" s="6">
        <f>SUM(H28+H27+H26+H25+H24+H23+H22+H21+H20+H19+H18+H17+H16+H13+H10+H9+H8+H7+H6)-0.001</f>
        <v>16.120409524286043</v>
      </c>
      <c r="I31" s="6">
        <f>SUM(I28+I27+I26+I25+I24+I23+I22+I21+I20+I19+I18+I17+I16+I13+I10+I9+I8+I7+I6)-0.002</f>
        <v>53.466607595455834</v>
      </c>
      <c r="J31" s="28">
        <f>SUM(J28+J27+J26+J25+J24+J23+J22+J21+J20+J19+J18+J17+J16+J13+J10+J9+J8+J7+J6)</f>
        <v>16.94042429334646</v>
      </c>
      <c r="K31" s="6">
        <f>SUM(K28+K27+K26+K25+K24+K23+K22+K21+K20+K19+K18+K17+K16+K13+K10+K9+K8+K7+K6)</f>
        <v>55.81849296641101</v>
      </c>
      <c r="L31" s="6">
        <f>SUM(L28+L27+L26+L25+L24+L23+L22+L21+L20+L19+L18+L17+L16+L13+L10+L9+L8+L7+L6)-0.001</f>
        <v>17.3198605955242</v>
      </c>
      <c r="M31" s="28">
        <f>SUM(M28+M27+M26+M25+M24+M23+M22+M21+M20+M19+M18+M17+M16+M13+M10+M9+M8+M7+M6)-0.001</f>
        <v>58.08046093589795</v>
      </c>
      <c r="N31" s="28">
        <f>SUM(N28+N27+N26+N25+N24+N23+N22+N21+N20+N19+N18+N17+N16+N13+N10+N9+N8+N7+N6)-0.002</f>
        <v>17.709520745792837</v>
      </c>
      <c r="O31" s="28">
        <f>SUM(O28+O27+O26+O25+O24+O23+O22+O21+O20+O19+O18+O17+O16+O13+O10+O9+O8+O7+O6)</f>
        <v>59.96469175245046</v>
      </c>
      <c r="P31" s="6">
        <f>SUM(P28+P27+P26+P25+P24+P23+P22+P21+P20+P19+P18+P17+P16+P13+P10+P9+P8+P7+P6)</f>
        <v>18.099892100835284</v>
      </c>
      <c r="Q31" s="6">
        <f>SUM(C31+E31+G31+I31+K31+M31+O31)-0.001</f>
        <v>361.734</v>
      </c>
      <c r="R31" s="6">
        <f>SUM(D31+F31+H31+J31+L31+N31+P31)</f>
        <v>118.670128</v>
      </c>
    </row>
    <row r="32" spans="2:18" ht="12.75">
      <c r="B32" s="3"/>
      <c r="C32" s="38"/>
      <c r="D32" s="3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ht="12.75">
      <c r="A33" s="42" t="s">
        <v>44</v>
      </c>
    </row>
    <row r="34" ht="12.75">
      <c r="B34" s="11"/>
    </row>
  </sheetData>
  <mergeCells count="16">
    <mergeCell ref="K4:L4"/>
    <mergeCell ref="M4:N4"/>
    <mergeCell ref="O4:P4"/>
    <mergeCell ref="Q4:R4"/>
    <mergeCell ref="C4:D4"/>
    <mergeCell ref="E4:F4"/>
    <mergeCell ref="G4:H4"/>
    <mergeCell ref="I4:J4"/>
    <mergeCell ref="K3:L3"/>
    <mergeCell ref="M3:N3"/>
    <mergeCell ref="O3:P3"/>
    <mergeCell ref="Q3:R3"/>
    <mergeCell ref="C3:D3"/>
    <mergeCell ref="E3:F3"/>
    <mergeCell ref="G3:H3"/>
    <mergeCell ref="I3:J3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Footer>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showZeros="0" workbookViewId="0" topLeftCell="A1">
      <selection activeCell="C12" sqref="C12"/>
    </sheetView>
  </sheetViews>
  <sheetFormatPr defaultColWidth="9.140625" defaultRowHeight="12"/>
  <cols>
    <col min="1" max="1" width="6.8515625" style="8" customWidth="1"/>
    <col min="2" max="2" width="30.00390625" style="8" customWidth="1"/>
    <col min="3" max="18" width="10.00390625" style="8" customWidth="1"/>
    <col min="19" max="16384" width="9.140625" style="8" customWidth="1"/>
  </cols>
  <sheetData>
    <row r="1" ht="12.75">
      <c r="A1" s="1" t="s">
        <v>45</v>
      </c>
    </row>
    <row r="3" spans="1:18" s="33" customFormat="1" ht="12.75">
      <c r="A3" s="44"/>
      <c r="B3" s="45"/>
      <c r="C3" s="52" t="s">
        <v>7</v>
      </c>
      <c r="D3" s="52"/>
      <c r="E3" s="53" t="s">
        <v>7</v>
      </c>
      <c r="F3" s="52"/>
      <c r="G3" s="53" t="s">
        <v>7</v>
      </c>
      <c r="H3" s="52"/>
      <c r="I3" s="53" t="s">
        <v>7</v>
      </c>
      <c r="J3" s="52"/>
      <c r="K3" s="53" t="s">
        <v>7</v>
      </c>
      <c r="L3" s="52"/>
      <c r="M3" s="53" t="s">
        <v>7</v>
      </c>
      <c r="N3" s="52"/>
      <c r="O3" s="53" t="s">
        <v>7</v>
      </c>
      <c r="P3" s="54"/>
      <c r="Q3" s="52" t="s">
        <v>1</v>
      </c>
      <c r="R3" s="54"/>
    </row>
    <row r="4" spans="1:18" s="33" customFormat="1" ht="12.75">
      <c r="A4" s="46"/>
      <c r="B4" s="47" t="s">
        <v>0</v>
      </c>
      <c r="C4" s="55">
        <v>2000</v>
      </c>
      <c r="D4" s="55"/>
      <c r="E4" s="56">
        <v>2001</v>
      </c>
      <c r="F4" s="57"/>
      <c r="G4" s="55">
        <v>2002</v>
      </c>
      <c r="H4" s="55"/>
      <c r="I4" s="56">
        <v>2003</v>
      </c>
      <c r="J4" s="57"/>
      <c r="K4" s="55">
        <v>2004</v>
      </c>
      <c r="L4" s="55"/>
      <c r="M4" s="56">
        <v>2005</v>
      </c>
      <c r="N4" s="57"/>
      <c r="O4" s="56">
        <v>2006</v>
      </c>
      <c r="P4" s="57"/>
      <c r="Q4" s="58"/>
      <c r="R4" s="59"/>
    </row>
    <row r="5" spans="1:18" ht="38.25">
      <c r="A5" s="39"/>
      <c r="B5" s="40"/>
      <c r="C5" s="48" t="s">
        <v>42</v>
      </c>
      <c r="D5" s="41" t="s">
        <v>3</v>
      </c>
      <c r="E5" s="48" t="s">
        <v>42</v>
      </c>
      <c r="F5" s="41" t="s">
        <v>3</v>
      </c>
      <c r="G5" s="48" t="s">
        <v>42</v>
      </c>
      <c r="H5" s="41" t="s">
        <v>3</v>
      </c>
      <c r="I5" s="48" t="s">
        <v>42</v>
      </c>
      <c r="J5" s="41" t="s">
        <v>3</v>
      </c>
      <c r="K5" s="48" t="s">
        <v>42</v>
      </c>
      <c r="L5" s="41" t="s">
        <v>3</v>
      </c>
      <c r="M5" s="48" t="s">
        <v>42</v>
      </c>
      <c r="N5" s="41" t="s">
        <v>3</v>
      </c>
      <c r="O5" s="48" t="s">
        <v>42</v>
      </c>
      <c r="P5" s="41" t="s">
        <v>3</v>
      </c>
      <c r="Q5" s="48" t="s">
        <v>42</v>
      </c>
      <c r="R5" s="41" t="s">
        <v>3</v>
      </c>
    </row>
    <row r="6" spans="1:19" ht="21">
      <c r="A6" s="27">
        <v>1</v>
      </c>
      <c r="B6" s="13" t="s">
        <v>15</v>
      </c>
      <c r="C6" s="19">
        <f>0-0</f>
        <v>0</v>
      </c>
      <c r="D6" s="19">
        <v>0</v>
      </c>
      <c r="E6" s="19">
        <f>6.073-1-2.79</f>
        <v>2.2830000000000004</v>
      </c>
      <c r="F6" s="19">
        <v>0.761</v>
      </c>
      <c r="G6" s="19">
        <f>6.83-1-3.207</f>
        <v>2.623</v>
      </c>
      <c r="H6" s="19">
        <v>0.875</v>
      </c>
      <c r="I6" s="19">
        <f>7.235-1-3.429</f>
        <v>2.8060000000000005</v>
      </c>
      <c r="J6" s="19">
        <v>0.935</v>
      </c>
      <c r="K6" s="19">
        <f>9.905-1-4.898</f>
        <v>4.007</v>
      </c>
      <c r="L6" s="19">
        <v>1.336</v>
      </c>
      <c r="M6" s="19">
        <f>9.859-1-4.872</f>
        <v>3.987</v>
      </c>
      <c r="N6" s="19">
        <v>1.329</v>
      </c>
      <c r="O6" s="19">
        <f>10.098-1-5.004</f>
        <v>4.094000000000001</v>
      </c>
      <c r="P6" s="19">
        <v>1.365</v>
      </c>
      <c r="Q6" s="19">
        <f>+O6+M6+K6+I6+G6+E6+C6</f>
        <v>19.800000000000004</v>
      </c>
      <c r="R6" s="19">
        <f>+P6+N6+L6+J6+H6+F6+D6-0.001</f>
        <v>6.6</v>
      </c>
      <c r="S6" s="20"/>
    </row>
    <row r="7" spans="1:18" ht="21">
      <c r="A7" s="27">
        <v>2</v>
      </c>
      <c r="B7" s="13" t="s">
        <v>16</v>
      </c>
      <c r="C7" s="19">
        <v>0</v>
      </c>
      <c r="D7" s="19">
        <v>0</v>
      </c>
      <c r="E7" s="19">
        <v>0.583</v>
      </c>
      <c r="F7" s="19">
        <v>0.292</v>
      </c>
      <c r="G7" s="19">
        <v>0.583</v>
      </c>
      <c r="H7" s="19">
        <v>0.292</v>
      </c>
      <c r="I7" s="19">
        <v>0.583</v>
      </c>
      <c r="J7" s="19">
        <v>0.292</v>
      </c>
      <c r="K7" s="19">
        <v>0.583</v>
      </c>
      <c r="L7" s="19">
        <v>0.292</v>
      </c>
      <c r="M7" s="19">
        <v>0.583</v>
      </c>
      <c r="N7" s="19">
        <v>0.292</v>
      </c>
      <c r="O7" s="19">
        <v>0.583</v>
      </c>
      <c r="P7" s="19">
        <v>0.292</v>
      </c>
      <c r="Q7" s="19">
        <f>+O7+M7+K7+I7+G7+E7+C7+0.002</f>
        <v>3.5</v>
      </c>
      <c r="R7" s="19">
        <f>+P7+N7+L7+J7+H7+F7+D7-0.002</f>
        <v>1.75</v>
      </c>
    </row>
    <row r="8" spans="1:18" ht="12.75">
      <c r="A8" s="27">
        <v>3</v>
      </c>
      <c r="B8" s="13" t="s">
        <v>17</v>
      </c>
      <c r="C8" s="19">
        <v>0</v>
      </c>
      <c r="D8" s="19">
        <v>0</v>
      </c>
      <c r="E8" s="19">
        <v>0</v>
      </c>
      <c r="F8" s="19">
        <v>0</v>
      </c>
      <c r="G8" s="19">
        <v>0.15</v>
      </c>
      <c r="H8" s="19">
        <v>0.075</v>
      </c>
      <c r="I8" s="19">
        <v>0.15</v>
      </c>
      <c r="J8" s="19">
        <v>0.075</v>
      </c>
      <c r="K8" s="19">
        <v>0.15</v>
      </c>
      <c r="L8" s="19">
        <v>0.075</v>
      </c>
      <c r="M8" s="19">
        <v>0.15</v>
      </c>
      <c r="N8" s="19">
        <v>0.075</v>
      </c>
      <c r="O8" s="19">
        <v>0.15</v>
      </c>
      <c r="P8" s="19">
        <v>0.075</v>
      </c>
      <c r="Q8" s="19">
        <f>+O8+M8+K8+I8+G8+E8+C8</f>
        <v>0.75</v>
      </c>
      <c r="R8" s="19">
        <f>+P8+N8+L8+J8+H8+F8+D8</f>
        <v>0.375</v>
      </c>
    </row>
    <row r="9" spans="1:18" ht="21">
      <c r="A9" s="27">
        <v>4</v>
      </c>
      <c r="B9" s="13" t="s">
        <v>18</v>
      </c>
      <c r="C9" s="19">
        <v>0</v>
      </c>
      <c r="D9" s="19">
        <v>0</v>
      </c>
      <c r="E9" s="19">
        <f>0.04-0.006</f>
        <v>0.034</v>
      </c>
      <c r="F9" s="19">
        <v>0.013</v>
      </c>
      <c r="G9" s="19">
        <f>0.056-0.008</f>
        <v>0.048</v>
      </c>
      <c r="H9" s="19">
        <v>0.018</v>
      </c>
      <c r="I9" s="19">
        <f>0.056-0.008</f>
        <v>0.048</v>
      </c>
      <c r="J9" s="19">
        <v>0.018</v>
      </c>
      <c r="K9" s="19">
        <f>0.056-0.008</f>
        <v>0.048</v>
      </c>
      <c r="L9" s="19">
        <v>0.018</v>
      </c>
      <c r="M9" s="19">
        <f>0.056-0.008</f>
        <v>0.048</v>
      </c>
      <c r="N9" s="19">
        <v>0.018</v>
      </c>
      <c r="O9" s="19">
        <f>0.056-0.008</f>
        <v>0.048</v>
      </c>
      <c r="P9" s="19">
        <v>0.018</v>
      </c>
      <c r="Q9" s="19">
        <f>+O9+M9+K9+I9+G9+E9+C9-0.004</f>
        <v>0.27</v>
      </c>
      <c r="R9" s="19">
        <f>+P9+N9+L9+J9+H9+F9+D9-0.003</f>
        <v>0.09999999999999999</v>
      </c>
    </row>
    <row r="10" spans="1:19" ht="42">
      <c r="A10" s="27" t="s">
        <v>22</v>
      </c>
      <c r="B10" s="13" t="s">
        <v>40</v>
      </c>
      <c r="C10" s="19">
        <v>0</v>
      </c>
      <c r="D10" s="19">
        <v>0</v>
      </c>
      <c r="E10" s="19">
        <f>SUM(E11:E12)</f>
        <v>1.17</v>
      </c>
      <c r="F10" s="19">
        <f aca="true" t="shared" si="0" ref="F10:P10">SUM(F11:F12)</f>
        <v>0.375</v>
      </c>
      <c r="G10" s="19">
        <f t="shared" si="0"/>
        <v>1.17</v>
      </c>
      <c r="H10" s="19">
        <f t="shared" si="0"/>
        <v>0.375</v>
      </c>
      <c r="I10" s="19">
        <f t="shared" si="0"/>
        <v>1.17</v>
      </c>
      <c r="J10" s="19">
        <f t="shared" si="0"/>
        <v>0.375</v>
      </c>
      <c r="K10" s="19">
        <f t="shared" si="0"/>
        <v>1.17</v>
      </c>
      <c r="L10" s="19">
        <f t="shared" si="0"/>
        <v>0.375</v>
      </c>
      <c r="M10" s="19">
        <f t="shared" si="0"/>
        <v>1.17</v>
      </c>
      <c r="N10" s="19">
        <f t="shared" si="0"/>
        <v>0.375</v>
      </c>
      <c r="O10" s="19">
        <f t="shared" si="0"/>
        <v>1.17</v>
      </c>
      <c r="P10" s="19">
        <f t="shared" si="0"/>
        <v>0.375</v>
      </c>
      <c r="Q10" s="19">
        <f aca="true" t="shared" si="1" ref="Q10:R14">SUM(O10+M10+K10+I10+G10+E10)</f>
        <v>7.02</v>
      </c>
      <c r="R10" s="19">
        <f t="shared" si="1"/>
        <v>2.25</v>
      </c>
      <c r="S10" s="20"/>
    </row>
    <row r="11" spans="1:18" ht="16.5" customHeight="1">
      <c r="A11" s="26" t="s">
        <v>23</v>
      </c>
      <c r="B11" s="25" t="s">
        <v>25</v>
      </c>
      <c r="C11" s="19"/>
      <c r="D11" s="19"/>
      <c r="E11" s="19">
        <f>1-0.55</f>
        <v>0.44999999999999996</v>
      </c>
      <c r="F11" s="19">
        <v>0.15</v>
      </c>
      <c r="G11" s="19">
        <f>1-0.55</f>
        <v>0.44999999999999996</v>
      </c>
      <c r="H11" s="19">
        <v>0.15</v>
      </c>
      <c r="I11" s="19">
        <f>1-0.55</f>
        <v>0.44999999999999996</v>
      </c>
      <c r="J11" s="19">
        <v>0.15</v>
      </c>
      <c r="K11" s="19">
        <f>1-0.55</f>
        <v>0.44999999999999996</v>
      </c>
      <c r="L11" s="19">
        <v>0.15</v>
      </c>
      <c r="M11" s="19">
        <f>1-0.55</f>
        <v>0.44999999999999996</v>
      </c>
      <c r="N11" s="19">
        <v>0.15</v>
      </c>
      <c r="O11" s="19">
        <f>1-0.55</f>
        <v>0.44999999999999996</v>
      </c>
      <c r="P11" s="19">
        <v>0.15</v>
      </c>
      <c r="Q11" s="19">
        <f t="shared" si="1"/>
        <v>2.7</v>
      </c>
      <c r="R11" s="19">
        <f t="shared" si="1"/>
        <v>0.9</v>
      </c>
    </row>
    <row r="12" spans="1:19" ht="33.75">
      <c r="A12" s="26" t="s">
        <v>24</v>
      </c>
      <c r="B12" s="25" t="s">
        <v>41</v>
      </c>
      <c r="C12" s="19"/>
      <c r="D12" s="19"/>
      <c r="E12" s="19">
        <f>0.9-0.18</f>
        <v>0.72</v>
      </c>
      <c r="F12" s="19">
        <v>0.225</v>
      </c>
      <c r="G12" s="19">
        <f>0.9-0.18</f>
        <v>0.72</v>
      </c>
      <c r="H12" s="19">
        <v>0.225</v>
      </c>
      <c r="I12" s="19">
        <f>0.9-0.18</f>
        <v>0.72</v>
      </c>
      <c r="J12" s="19">
        <v>0.225</v>
      </c>
      <c r="K12" s="19">
        <f>0.9-0.18</f>
        <v>0.72</v>
      </c>
      <c r="L12" s="19">
        <v>0.225</v>
      </c>
      <c r="M12" s="19">
        <f>0.9-0.18</f>
        <v>0.72</v>
      </c>
      <c r="N12" s="19">
        <v>0.225</v>
      </c>
      <c r="O12" s="19">
        <f>0.9-0.18</f>
        <v>0.72</v>
      </c>
      <c r="P12" s="19">
        <v>0.225</v>
      </c>
      <c r="Q12" s="19">
        <f t="shared" si="1"/>
        <v>4.319999999999999</v>
      </c>
      <c r="R12" s="19">
        <f t="shared" si="1"/>
        <v>1.35</v>
      </c>
      <c r="S12" s="20"/>
    </row>
    <row r="13" spans="1:19" ht="52.5">
      <c r="A13" s="27" t="s">
        <v>12</v>
      </c>
      <c r="B13" s="13" t="s">
        <v>19</v>
      </c>
      <c r="C13" s="19">
        <v>0</v>
      </c>
      <c r="D13" s="19">
        <v>0</v>
      </c>
      <c r="E13" s="19">
        <f>SUM(E14:E15)-0.001</f>
        <v>0.43199999999999994</v>
      </c>
      <c r="F13" s="19">
        <f>SUM(F14:F15)-0.001</f>
        <v>0.153</v>
      </c>
      <c r="G13" s="19">
        <f>SUM(G14:G15)-0.002</f>
        <v>0.43099999999999994</v>
      </c>
      <c r="H13" s="19">
        <f>SUM(H14:H15)-0.001</f>
        <v>0.152</v>
      </c>
      <c r="I13" s="19">
        <f>SUM(I14:I15)-0.001</f>
        <v>0.43199999999999994</v>
      </c>
      <c r="J13" s="19">
        <f>SUM(J14:J15)-0.001</f>
        <v>0.153</v>
      </c>
      <c r="K13" s="19">
        <f>SUM(K14:K15)-0.001</f>
        <v>0.43199999999999994</v>
      </c>
      <c r="L13" s="19">
        <f>SUM(L14:L15)-0.001</f>
        <v>0.153</v>
      </c>
      <c r="M13" s="19">
        <f>SUM(M14:M15)</f>
        <v>0.43199999999999994</v>
      </c>
      <c r="N13" s="19">
        <f>SUM(N14:N15)-0.001</f>
        <v>0.153</v>
      </c>
      <c r="O13" s="19">
        <f>SUM(O14:O15)</f>
        <v>0.43999999999999995</v>
      </c>
      <c r="P13" s="19">
        <f>SUM(P14:P15)-0.001</f>
        <v>0.155</v>
      </c>
      <c r="Q13" s="19">
        <f>SUM(O13+M13+K13+I13+G13+E13)+0.001</f>
        <v>2.5999999999999996</v>
      </c>
      <c r="R13" s="19">
        <f>SUM(P13+N13+L13+J13+H13+F13)+0.001</f>
        <v>0.92</v>
      </c>
      <c r="S13" s="20"/>
    </row>
    <row r="14" spans="1:18" ht="45">
      <c r="A14" s="26" t="s">
        <v>13</v>
      </c>
      <c r="B14" s="25" t="s">
        <v>20</v>
      </c>
      <c r="C14" s="19"/>
      <c r="D14" s="19"/>
      <c r="E14" s="19">
        <f>0.717-0.431</f>
        <v>0.286</v>
      </c>
      <c r="F14" s="19">
        <v>0.108</v>
      </c>
      <c r="G14" s="19">
        <f>0.717-0.431</f>
        <v>0.286</v>
      </c>
      <c r="H14" s="19">
        <v>0.107</v>
      </c>
      <c r="I14" s="19">
        <f>0.717-0.431</f>
        <v>0.286</v>
      </c>
      <c r="J14" s="19">
        <v>0.108</v>
      </c>
      <c r="K14" s="19">
        <f>0.717-0.431</f>
        <v>0.286</v>
      </c>
      <c r="L14" s="19">
        <v>0.108</v>
      </c>
      <c r="M14" s="19">
        <f>0.717-0.432</f>
        <v>0.285</v>
      </c>
      <c r="N14" s="19">
        <v>0.108</v>
      </c>
      <c r="O14" s="19">
        <f>0.717-0.424</f>
        <v>0.293</v>
      </c>
      <c r="P14" s="19">
        <v>0.11</v>
      </c>
      <c r="Q14" s="19">
        <f t="shared" si="1"/>
        <v>1.722</v>
      </c>
      <c r="R14" s="19">
        <f>SUM(P14+N14+L14+J14+H14+F14)-0.003</f>
        <v>0.646</v>
      </c>
    </row>
    <row r="15" spans="1:18" ht="67.5">
      <c r="A15" s="26" t="s">
        <v>14</v>
      </c>
      <c r="B15" s="25" t="s">
        <v>21</v>
      </c>
      <c r="C15" s="19"/>
      <c r="D15" s="19"/>
      <c r="E15" s="19">
        <v>0.147</v>
      </c>
      <c r="F15" s="19">
        <v>0.046</v>
      </c>
      <c r="G15" s="19">
        <f>0.046+0.071+0.03</f>
        <v>0.147</v>
      </c>
      <c r="H15" s="19">
        <v>0.046</v>
      </c>
      <c r="I15" s="19">
        <f>0.046+0.071+0.03</f>
        <v>0.147</v>
      </c>
      <c r="J15" s="19">
        <v>0.046</v>
      </c>
      <c r="K15" s="19">
        <f>0.046+0.071+0.03</f>
        <v>0.147</v>
      </c>
      <c r="L15" s="19">
        <v>0.046</v>
      </c>
      <c r="M15" s="19">
        <f>0.046+0.071+0.03</f>
        <v>0.147</v>
      </c>
      <c r="N15" s="19">
        <v>0.046</v>
      </c>
      <c r="O15" s="19">
        <f>0.046+0.071+0.03</f>
        <v>0.147</v>
      </c>
      <c r="P15" s="19">
        <v>0.046</v>
      </c>
      <c r="Q15" s="19">
        <f>SUM(O15+M15+K15+I15+G15+E15)-0.001</f>
        <v>0.881</v>
      </c>
      <c r="R15" s="19">
        <f>SUM(P15+N15+L15+J15+H15+F15)-0.001</f>
        <v>0.27499999999999997</v>
      </c>
    </row>
    <row r="16" spans="1:18" ht="31.5">
      <c r="A16" s="18"/>
      <c r="B16" s="13" t="s">
        <v>8</v>
      </c>
      <c r="C16" s="19">
        <v>1.13</v>
      </c>
      <c r="D16" s="19">
        <f>+C16/2</f>
        <v>0.565</v>
      </c>
      <c r="E16" s="19">
        <v>1.13</v>
      </c>
      <c r="F16" s="19">
        <f>+E16/2</f>
        <v>0.565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f>+O16+M16+K16+I16+G16+E16+C16</f>
        <v>2.26</v>
      </c>
      <c r="R16" s="19">
        <f>+P16+N16+L16+J16+H16+F16+D16</f>
        <v>1.13</v>
      </c>
    </row>
    <row r="17" spans="1:18" ht="42">
      <c r="A17" s="18">
        <v>6</v>
      </c>
      <c r="B17" s="13" t="s">
        <v>26</v>
      </c>
      <c r="C17" s="19">
        <v>0</v>
      </c>
      <c r="D17" s="19">
        <v>0</v>
      </c>
      <c r="E17" s="19">
        <f>10.3-6.18</f>
        <v>4.120000000000001</v>
      </c>
      <c r="F17" s="19">
        <v>1.545</v>
      </c>
      <c r="G17" s="19">
        <f>10.2-6.12</f>
        <v>4.079999999999999</v>
      </c>
      <c r="H17" s="19">
        <v>1.53</v>
      </c>
      <c r="I17" s="19">
        <f>9.885-5.931</f>
        <v>3.9539999999999997</v>
      </c>
      <c r="J17" s="19">
        <v>1.483</v>
      </c>
      <c r="K17" s="19">
        <f>9.108-5.465</f>
        <v>3.6430000000000007</v>
      </c>
      <c r="L17" s="19">
        <v>1.366</v>
      </c>
      <c r="M17" s="19">
        <f>10.107-6.064</f>
        <v>4.042999999999999</v>
      </c>
      <c r="N17" s="19">
        <v>1.516</v>
      </c>
      <c r="O17" s="19">
        <f>10.4-6.24</f>
        <v>4.16</v>
      </c>
      <c r="P17" s="19">
        <v>1.56</v>
      </c>
      <c r="Q17" s="19">
        <f>+O17+M17+K17+I17+G17+E17+C17</f>
        <v>24</v>
      </c>
      <c r="R17" s="19">
        <f>+P17+N17+L17+J17+H17+F17+D17</f>
        <v>9</v>
      </c>
    </row>
    <row r="18" spans="1:18" ht="31.5">
      <c r="A18" s="18">
        <v>7</v>
      </c>
      <c r="B18" s="13" t="s">
        <v>27</v>
      </c>
      <c r="C18" s="19">
        <v>0</v>
      </c>
      <c r="D18" s="19">
        <v>0</v>
      </c>
      <c r="E18" s="19">
        <v>0</v>
      </c>
      <c r="F18" s="19">
        <v>0</v>
      </c>
      <c r="G18" s="19">
        <f>0.025+0.03+0.013</f>
        <v>0.068</v>
      </c>
      <c r="H18" s="19">
        <v>0.025</v>
      </c>
      <c r="I18" s="19">
        <f>0.056+0.067+0.029</f>
        <v>0.152</v>
      </c>
      <c r="J18" s="19">
        <v>0.056</v>
      </c>
      <c r="K18" s="19">
        <f>0.056+0.067+0.029</f>
        <v>0.152</v>
      </c>
      <c r="L18" s="19">
        <v>0.056</v>
      </c>
      <c r="M18" s="19">
        <f>0.056+0.067+0.029</f>
        <v>0.152</v>
      </c>
      <c r="N18" s="19">
        <v>0.056</v>
      </c>
      <c r="O18" s="19">
        <f>0.056+0.067+0.029</f>
        <v>0.152</v>
      </c>
      <c r="P18" s="19">
        <v>0.056</v>
      </c>
      <c r="Q18" s="19">
        <f>+O18+M18+K18+I18+G18+E18+C18</f>
        <v>0.6759999999999999</v>
      </c>
      <c r="R18" s="19">
        <f>+P18+N18+L18+J18+H18+F18+D18+0.001</f>
        <v>0.25</v>
      </c>
    </row>
    <row r="19" spans="1:18" ht="12.75">
      <c r="A19" s="18">
        <v>8</v>
      </c>
      <c r="B19" s="13" t="s">
        <v>28</v>
      </c>
      <c r="C19" s="19">
        <v>0</v>
      </c>
      <c r="D19" s="19">
        <v>0</v>
      </c>
      <c r="E19" s="19">
        <v>0.075</v>
      </c>
      <c r="F19" s="19">
        <v>0.038</v>
      </c>
      <c r="G19" s="19">
        <v>0.135</v>
      </c>
      <c r="H19" s="19">
        <v>0.068</v>
      </c>
      <c r="I19" s="19">
        <v>0.135</v>
      </c>
      <c r="J19" s="19">
        <v>0.068</v>
      </c>
      <c r="K19" s="19">
        <v>0.135</v>
      </c>
      <c r="L19" s="19">
        <v>0.068</v>
      </c>
      <c r="M19" s="19">
        <v>0.135</v>
      </c>
      <c r="N19" s="19">
        <v>0.068</v>
      </c>
      <c r="O19" s="19">
        <v>0.135</v>
      </c>
      <c r="P19" s="19">
        <v>0.068</v>
      </c>
      <c r="Q19" s="19">
        <f>+O19+M19+K19+I19+G19+E19+C19</f>
        <v>0.75</v>
      </c>
      <c r="R19" s="19">
        <f>+P19+N19+L19+J19+H19+F19+D19-0.003</f>
        <v>0.375</v>
      </c>
    </row>
    <row r="20" spans="1:18" ht="52.5">
      <c r="A20" s="18">
        <v>9</v>
      </c>
      <c r="B20" s="13" t="s">
        <v>29</v>
      </c>
      <c r="C20" s="19">
        <v>0</v>
      </c>
      <c r="D20" s="19">
        <v>0</v>
      </c>
      <c r="E20" s="19">
        <v>0</v>
      </c>
      <c r="F20" s="19">
        <v>0</v>
      </c>
      <c r="G20" s="19">
        <f>0.03+0.036+0.015</f>
        <v>0.081</v>
      </c>
      <c r="H20" s="19">
        <v>0.03</v>
      </c>
      <c r="I20" s="19">
        <v>0.182</v>
      </c>
      <c r="J20" s="19">
        <v>0.067</v>
      </c>
      <c r="K20" s="19">
        <v>0.182</v>
      </c>
      <c r="L20" s="19">
        <v>0.067</v>
      </c>
      <c r="M20" s="19">
        <v>0.182</v>
      </c>
      <c r="N20" s="19">
        <v>0.067</v>
      </c>
      <c r="O20" s="19">
        <v>0.182</v>
      </c>
      <c r="P20" s="19">
        <v>0.067</v>
      </c>
      <c r="Q20" s="19">
        <f>+O20+M20+K20+I20+G20+E20+C20+0.001</f>
        <v>0.8099999999999999</v>
      </c>
      <c r="R20" s="19">
        <f>+P20+N20+L20+J20+H20+F20+D20+0.002</f>
        <v>0.30000000000000004</v>
      </c>
    </row>
    <row r="21" spans="1:18" ht="21">
      <c r="A21" s="18">
        <v>10</v>
      </c>
      <c r="B21" s="13" t="s">
        <v>30</v>
      </c>
      <c r="C21" s="19">
        <v>0</v>
      </c>
      <c r="D21" s="19">
        <v>0</v>
      </c>
      <c r="E21" s="19">
        <v>0</v>
      </c>
      <c r="F21" s="19">
        <v>0</v>
      </c>
      <c r="G21" s="19">
        <f>0.036+0.043+0.018</f>
        <v>0.09699999999999999</v>
      </c>
      <c r="H21" s="19">
        <v>0.036</v>
      </c>
      <c r="I21" s="19">
        <f>0.066+0.079+0.034</f>
        <v>0.17900000000000002</v>
      </c>
      <c r="J21" s="19">
        <v>0.066</v>
      </c>
      <c r="K21" s="19">
        <f>0.066+0.079+0.034</f>
        <v>0.17900000000000002</v>
      </c>
      <c r="L21" s="19">
        <v>0.066</v>
      </c>
      <c r="M21" s="19">
        <f>0.066+0.079+0.034</f>
        <v>0.17900000000000002</v>
      </c>
      <c r="N21" s="19">
        <v>0.066</v>
      </c>
      <c r="O21" s="19">
        <f>0.066+0.079+0.034</f>
        <v>0.17900000000000002</v>
      </c>
      <c r="P21" s="19">
        <v>0.066</v>
      </c>
      <c r="Q21" s="19">
        <f>+O21+M21+K21+I21+G21+E21+C21-0.003</f>
        <v>0.81</v>
      </c>
      <c r="R21" s="19">
        <f>+P21+N21+L21+J21+H21+F21+D21</f>
        <v>0.3</v>
      </c>
    </row>
    <row r="22" spans="1:18" ht="31.5">
      <c r="A22" s="18">
        <v>11</v>
      </c>
      <c r="B22" s="13" t="s">
        <v>31</v>
      </c>
      <c r="C22" s="19">
        <v>0</v>
      </c>
      <c r="D22" s="19">
        <v>0</v>
      </c>
      <c r="E22" s="19">
        <f>0.27+0.321+0.138</f>
        <v>0.729</v>
      </c>
      <c r="F22" s="19">
        <v>0.27</v>
      </c>
      <c r="G22" s="19">
        <f>0.701+0.836+0.358</f>
        <v>1.895</v>
      </c>
      <c r="H22" s="19">
        <v>0.701</v>
      </c>
      <c r="I22" s="19">
        <f>0.738+0.878+0.376</f>
        <v>1.992</v>
      </c>
      <c r="J22" s="19">
        <v>0.738</v>
      </c>
      <c r="K22" s="19">
        <f>0.738+0.879+0.376</f>
        <v>1.9929999999999999</v>
      </c>
      <c r="L22" s="19">
        <v>0.738</v>
      </c>
      <c r="M22" s="19">
        <f>0.558+0.663+0.285</f>
        <v>1.506</v>
      </c>
      <c r="N22" s="19">
        <v>0.558</v>
      </c>
      <c r="O22" s="19">
        <f>0.595+0.707+0.303</f>
        <v>1.605</v>
      </c>
      <c r="P22" s="19">
        <v>0.595</v>
      </c>
      <c r="Q22" s="19">
        <f>+O22+M22+K22+I22+G22+E22+C22</f>
        <v>9.719999999999999</v>
      </c>
      <c r="R22" s="19">
        <f>+P22+N22+L22+J22+H22+F22+D22</f>
        <v>3.6</v>
      </c>
    </row>
    <row r="23" spans="1:18" ht="21">
      <c r="A23" s="18">
        <v>12</v>
      </c>
      <c r="B23" s="13" t="s">
        <v>32</v>
      </c>
      <c r="C23" s="19">
        <v>0</v>
      </c>
      <c r="D23" s="19">
        <v>0</v>
      </c>
      <c r="E23" s="19">
        <f>1+1.19+0.51</f>
        <v>2.7</v>
      </c>
      <c r="F23" s="19">
        <v>1</v>
      </c>
      <c r="G23" s="19">
        <f>0.766+0.912+0.391</f>
        <v>2.069</v>
      </c>
      <c r="H23" s="19">
        <v>0.766</v>
      </c>
      <c r="I23" s="19">
        <f>0.929+1.106+0.474</f>
        <v>2.5090000000000003</v>
      </c>
      <c r="J23" s="19">
        <v>0.929</v>
      </c>
      <c r="K23" s="19">
        <f>0.93+1.107+0.474</f>
        <v>2.511</v>
      </c>
      <c r="L23" s="19">
        <v>0.93</v>
      </c>
      <c r="M23" s="19">
        <f>1.115+1.327+0.569</f>
        <v>3.011</v>
      </c>
      <c r="N23" s="19">
        <v>1.115</v>
      </c>
      <c r="O23" s="19">
        <f>1.319+1.567+0.672</f>
        <v>3.5580000000000003</v>
      </c>
      <c r="P23" s="19">
        <v>1.319</v>
      </c>
      <c r="Q23" s="19">
        <f>+O23+M23+K23+I23+G23+E23+C23-0.001</f>
        <v>16.357</v>
      </c>
      <c r="R23" s="19">
        <f>+P23+N23+L23+J23+H23+F23+D23-0.001</f>
        <v>6.058</v>
      </c>
    </row>
    <row r="24" spans="1:19" ht="21">
      <c r="A24" s="18">
        <v>13</v>
      </c>
      <c r="B24" s="13" t="s">
        <v>33</v>
      </c>
      <c r="C24" s="21">
        <v>0</v>
      </c>
      <c r="D24" s="19">
        <v>0</v>
      </c>
      <c r="E24" s="19">
        <v>0.75</v>
      </c>
      <c r="F24" s="19">
        <f>E24/2</f>
        <v>0.375</v>
      </c>
      <c r="G24" s="19">
        <v>0.75</v>
      </c>
      <c r="H24" s="19">
        <f>G24/2</f>
        <v>0.375</v>
      </c>
      <c r="I24" s="19">
        <v>0.75</v>
      </c>
      <c r="J24" s="19">
        <f>I24/2</f>
        <v>0.375</v>
      </c>
      <c r="K24" s="19">
        <v>15.75</v>
      </c>
      <c r="L24" s="19">
        <v>7.875</v>
      </c>
      <c r="M24" s="19">
        <v>15.75</v>
      </c>
      <c r="N24" s="19">
        <v>7.875</v>
      </c>
      <c r="O24" s="19">
        <v>15.75</v>
      </c>
      <c r="P24" s="19">
        <v>7.875</v>
      </c>
      <c r="Q24" s="19">
        <f>O24+M24+K24+I24+G24+E24+C24</f>
        <v>49.5</v>
      </c>
      <c r="R24" s="19">
        <f>P24+N24+L24+J24+H24+F24+D24</f>
        <v>24.75</v>
      </c>
      <c r="S24" s="20"/>
    </row>
    <row r="25" spans="1:21" ht="12.75">
      <c r="A25" s="18"/>
      <c r="B25" s="13" t="s">
        <v>6</v>
      </c>
      <c r="C25" s="21">
        <v>30.18</v>
      </c>
      <c r="D25" s="19">
        <f>+C25/2</f>
        <v>15.09</v>
      </c>
      <c r="E25" s="19">
        <f>15+(31.64-30.18-0.12)</f>
        <v>16.34</v>
      </c>
      <c r="F25" s="19">
        <f>+E25/2</f>
        <v>8.17</v>
      </c>
      <c r="G25" s="19">
        <v>15</v>
      </c>
      <c r="H25" s="19">
        <f>G25/2</f>
        <v>7.5</v>
      </c>
      <c r="I25" s="19">
        <v>15</v>
      </c>
      <c r="J25" s="19">
        <f>I25/2</f>
        <v>7.5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>O25+M25+K25+I25+G25+E25+C25</f>
        <v>76.52000000000001</v>
      </c>
      <c r="R25" s="19">
        <f>P25+N25+L25+J25+H25+F25+D25</f>
        <v>38.260000000000005</v>
      </c>
      <c r="S25" s="20"/>
      <c r="T25" s="20"/>
      <c r="U25" s="20"/>
    </row>
    <row r="26" spans="1:18" ht="31.5">
      <c r="A26" s="18">
        <v>14</v>
      </c>
      <c r="B26" s="13" t="s">
        <v>34</v>
      </c>
      <c r="C26" s="19">
        <v>0</v>
      </c>
      <c r="D26" s="19">
        <v>0</v>
      </c>
      <c r="E26" s="19">
        <v>4.13</v>
      </c>
      <c r="F26" s="19">
        <v>2.065</v>
      </c>
      <c r="G26" s="19">
        <v>4.504</v>
      </c>
      <c r="H26" s="19">
        <v>2.252</v>
      </c>
      <c r="I26" s="19">
        <v>5.434</v>
      </c>
      <c r="J26" s="19">
        <v>2.717</v>
      </c>
      <c r="K26" s="19">
        <v>5.432</v>
      </c>
      <c r="L26" s="19">
        <v>2.716</v>
      </c>
      <c r="M26" s="19">
        <v>5.442</v>
      </c>
      <c r="N26" s="19">
        <v>2.721</v>
      </c>
      <c r="O26" s="19">
        <v>5.418</v>
      </c>
      <c r="P26" s="19">
        <v>2.709</v>
      </c>
      <c r="Q26" s="19">
        <f>SUM(C26+E26+G26+I26+K26+M26+O26)+0.001</f>
        <v>30.361</v>
      </c>
      <c r="R26" s="19">
        <f>SUM(D26+F26+H26+J26+L26+N26+P26)</f>
        <v>15.18</v>
      </c>
    </row>
    <row r="27" spans="1:18" ht="52.5">
      <c r="A27" s="18" t="s">
        <v>9</v>
      </c>
      <c r="B27" s="13" t="s">
        <v>35</v>
      </c>
      <c r="C27" s="19">
        <v>0</v>
      </c>
      <c r="D27" s="19">
        <v>0</v>
      </c>
      <c r="E27" s="19">
        <v>0</v>
      </c>
      <c r="F27" s="19">
        <v>0</v>
      </c>
      <c r="G27" s="19">
        <v>0.066</v>
      </c>
      <c r="H27" s="19">
        <v>0.024</v>
      </c>
      <c r="I27" s="19">
        <v>0.148</v>
      </c>
      <c r="J27" s="19">
        <v>0.055</v>
      </c>
      <c r="K27" s="19">
        <v>0.148</v>
      </c>
      <c r="L27" s="19">
        <v>0.055</v>
      </c>
      <c r="M27" s="19">
        <v>0.148</v>
      </c>
      <c r="N27" s="19">
        <v>0.055</v>
      </c>
      <c r="O27" s="19">
        <v>0.148</v>
      </c>
      <c r="P27" s="19">
        <v>0.055</v>
      </c>
      <c r="Q27" s="19">
        <f>+O27+M27+K27+I27+G27+E27+C27+0.002</f>
        <v>0.6599999999999999</v>
      </c>
      <c r="R27" s="19">
        <f>+P27+N27+L27+J27+H27+F27+D27</f>
        <v>0.244</v>
      </c>
    </row>
    <row r="28" spans="1:20" ht="52.5">
      <c r="A28" s="18" t="s">
        <v>37</v>
      </c>
      <c r="B28" s="13" t="s">
        <v>36</v>
      </c>
      <c r="C28" s="19">
        <f>SUM(C29:C30)</f>
        <v>0</v>
      </c>
      <c r="D28" s="19">
        <f aca="true" t="shared" si="2" ref="D28:P28">SUM(D29:D30)</f>
        <v>0</v>
      </c>
      <c r="E28" s="19">
        <f t="shared" si="2"/>
        <v>3.253</v>
      </c>
      <c r="F28" s="19">
        <f t="shared" si="2"/>
        <v>1.205</v>
      </c>
      <c r="G28" s="19">
        <f t="shared" si="2"/>
        <v>2.7720000000000002</v>
      </c>
      <c r="H28" s="19">
        <f t="shared" si="2"/>
        <v>1.026</v>
      </c>
      <c r="I28" s="19">
        <f t="shared" si="2"/>
        <v>2.802</v>
      </c>
      <c r="J28" s="19">
        <f t="shared" si="2"/>
        <v>1.037</v>
      </c>
      <c r="K28" s="19">
        <f t="shared" si="2"/>
        <v>3.066</v>
      </c>
      <c r="L28" s="19">
        <f t="shared" si="2"/>
        <v>1.135</v>
      </c>
      <c r="M28" s="19">
        <f t="shared" si="2"/>
        <v>3.703</v>
      </c>
      <c r="N28" s="19">
        <f t="shared" si="2"/>
        <v>1.371</v>
      </c>
      <c r="O28" s="19">
        <f t="shared" si="2"/>
        <v>3.923</v>
      </c>
      <c r="P28" s="19">
        <f t="shared" si="2"/>
        <v>1.452</v>
      </c>
      <c r="Q28" s="19">
        <f>+O28+M28+K28+I28+G28+E28+C28-0.002</f>
        <v>19.517</v>
      </c>
      <c r="R28" s="19">
        <f>+P28+N28+L28+J28+H28+F28+D28+0.002</f>
        <v>7.228</v>
      </c>
      <c r="T28" s="20"/>
    </row>
    <row r="29" spans="1:18" ht="45">
      <c r="A29" s="18" t="s">
        <v>10</v>
      </c>
      <c r="B29" s="25" t="s">
        <v>39</v>
      </c>
      <c r="C29" s="19"/>
      <c r="D29" s="19"/>
      <c r="E29" s="19">
        <f>0.645+0.846+0.362</f>
        <v>1.8530000000000002</v>
      </c>
      <c r="F29" s="19">
        <v>0.645</v>
      </c>
      <c r="G29" s="19">
        <f>0.549+0.721+0.309</f>
        <v>1.579</v>
      </c>
      <c r="H29" s="19">
        <v>0.549</v>
      </c>
      <c r="I29" s="19">
        <f>0.555+0.729+0.312</f>
        <v>1.596</v>
      </c>
      <c r="J29" s="19">
        <v>0.555</v>
      </c>
      <c r="K29" s="19">
        <f>0.607+0.798+0.342</f>
        <v>1.747</v>
      </c>
      <c r="L29" s="19">
        <v>0.607</v>
      </c>
      <c r="M29" s="19">
        <f>0.733+0.963+0.413</f>
        <v>2.109</v>
      </c>
      <c r="N29" s="19">
        <v>0.733</v>
      </c>
      <c r="O29" s="19">
        <f>0.778+1.021+0.437</f>
        <v>2.2359999999999998</v>
      </c>
      <c r="P29" s="19">
        <v>0.778</v>
      </c>
      <c r="Q29" s="19">
        <f>+O29+M29+K29+I29+G29+E29+C29-0.001</f>
        <v>11.119</v>
      </c>
      <c r="R29" s="19">
        <f>+P29+N29+L29+J29+H29+F29+D29+0.001</f>
        <v>3.8680000000000003</v>
      </c>
    </row>
    <row r="30" spans="1:18" ht="22.5">
      <c r="A30" s="18" t="s">
        <v>11</v>
      </c>
      <c r="B30" s="25" t="s">
        <v>38</v>
      </c>
      <c r="C30" s="19"/>
      <c r="D30" s="19"/>
      <c r="E30" s="19">
        <f>0.56+0.588+0.252</f>
        <v>1.4000000000000001</v>
      </c>
      <c r="F30" s="19">
        <v>0.56</v>
      </c>
      <c r="G30" s="19">
        <f>0.477+0.501+0.215</f>
        <v>1.193</v>
      </c>
      <c r="H30" s="19">
        <v>0.477</v>
      </c>
      <c r="I30" s="19">
        <f>0.482+0.507+0.217</f>
        <v>1.206</v>
      </c>
      <c r="J30" s="19">
        <v>0.482</v>
      </c>
      <c r="K30" s="19">
        <f>0.528+0.554+0.237</f>
        <v>1.319</v>
      </c>
      <c r="L30" s="19">
        <v>0.528</v>
      </c>
      <c r="M30" s="19">
        <f>0.638+0.669+0.287</f>
        <v>1.5939999999999999</v>
      </c>
      <c r="N30" s="19">
        <v>0.638</v>
      </c>
      <c r="O30" s="19">
        <f>0.674+0.709+0.304</f>
        <v>1.687</v>
      </c>
      <c r="P30" s="19">
        <v>0.674</v>
      </c>
      <c r="Q30" s="19">
        <f>+O30+M30+K30+I30+G30+E30+C30+0.001</f>
        <v>8.399999999999999</v>
      </c>
      <c r="R30" s="19">
        <f>+P30+N30+L30+J30+H30+F30+D30+0.001</f>
        <v>3.36</v>
      </c>
    </row>
    <row r="31" spans="1:18" s="35" customFormat="1" ht="12.75">
      <c r="A31" s="34"/>
      <c r="B31" s="32" t="s">
        <v>4</v>
      </c>
      <c r="C31" s="28">
        <f>SUM(C28+C27+C26+C25+C24+C23+C22+C21+C20+C19+C18+C17+C16+C13+C10+C9+C8+C7+C6)</f>
        <v>31.31</v>
      </c>
      <c r="D31" s="28">
        <f>SUM(D28+D27+D26+D25+D24+D23+D22+D21+D20+D19+D18+D17+D16+D13+D10+D9+D8+D7+D6)</f>
        <v>15.655</v>
      </c>
      <c r="E31" s="28">
        <f>SUM(E28+E27+E26+E25+E24+E23+E22+E21+E20+E19+E18+E17+E16+E13+E10+E9+E8+E7+E6)</f>
        <v>37.729</v>
      </c>
      <c r="F31" s="28">
        <f>SUM(F28+F27+F26+F25+F24+F23+F22+F21+F20+F19+F18+F17+F16+F13+F10+F9+F8+F7+F6)-0.002</f>
        <v>16.825</v>
      </c>
      <c r="G31" s="28">
        <f>SUM(G28+G27+G26+G25+G24+G23+G22+G21+G20+G19+G18+G17+G16+G13+G10+G9+G8+G7+G6)</f>
        <v>36.522</v>
      </c>
      <c r="H31" s="28">
        <f>SUM(H28+H27+H26+H25+H24+H23+H22+H21+H20+H19+H18+H17+H16+H13+H10+H9+H8+H7+H6)</f>
        <v>16.119999999999997</v>
      </c>
      <c r="I31" s="28">
        <f>SUM(I28+I27+I26+I25+I24+I23+I22+I21+I20+I19+I18+I17+I16+I13+I10+I9+I8+I7+I6)+0.002</f>
        <v>38.428000000000004</v>
      </c>
      <c r="J31" s="28">
        <f>SUM(J28+J27+J26+J25+J24+J23+J22+J21+J20+J19+J18+J17+J16+J13+J10+J9+J8+J7+J6)+0.001</f>
        <v>16.94</v>
      </c>
      <c r="K31" s="28">
        <f>SUM(K28+K27+K26+K25+K24+K23+K22+K21+K20+K19+K18+K17+K16+K13+K10+K9+K8+K7+K6)-0.003</f>
        <v>39.578</v>
      </c>
      <c r="L31" s="28">
        <f>SUM(L28+L27+L26+L25+L24+L23+L22+L21+L20+L19+L18+L17+L16+L13+L10+L9+L8+L7+L6)-0.001</f>
        <v>17.319999999999997</v>
      </c>
      <c r="M31" s="28">
        <f>SUM(M28+M27+M26+M25+M24+M23+M22+M21+M20+M19+M18+M17+M16+M13+M10+M9+M8+M7+M6)-0.001</f>
        <v>40.620000000000005</v>
      </c>
      <c r="N31" s="28">
        <f>SUM(N28+N27+N26+N25+N24+N23+N22+N21+N20+N19+N18+N17+N16+N13+N10+N9+N8+N7+N6)</f>
        <v>17.71</v>
      </c>
      <c r="O31" s="28">
        <f>SUM(O28+O27+O26+O25+O24+O23+O22+O21+O20+O19+O18+O17+O16+O13+O10+O9+O8+O7+O6)-0.002</f>
        <v>41.693</v>
      </c>
      <c r="P31" s="28">
        <f>SUM(P28+P27+P26+P25+P24+P23+P22+P21+P20+P19+P18+P17+P16+P13+P10+P9+P8+P7+P6)-0.002</f>
        <v>18.1</v>
      </c>
      <c r="Q31" s="28">
        <f>SUM(C31+E31+G31+I31+K31+M31+O31)</f>
        <v>265.88</v>
      </c>
      <c r="R31" s="28">
        <f>SUM(D31+F31+H31+J31+L31+N31+P31)</f>
        <v>118.66999999999999</v>
      </c>
    </row>
    <row r="32" spans="2:18" ht="12.75">
      <c r="B32" s="9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ht="12.75">
      <c r="A33" s="43" t="s">
        <v>44</v>
      </c>
    </row>
    <row r="34" ht="12.75">
      <c r="B34" s="37"/>
    </row>
    <row r="37" ht="12.75">
      <c r="C37" s="20"/>
    </row>
  </sheetData>
  <mergeCells count="16">
    <mergeCell ref="K4:L4"/>
    <mergeCell ref="M4:N4"/>
    <mergeCell ref="O4:P4"/>
    <mergeCell ref="Q4:R4"/>
    <mergeCell ref="C4:D4"/>
    <mergeCell ref="E4:F4"/>
    <mergeCell ref="G4:H4"/>
    <mergeCell ref="I4:J4"/>
    <mergeCell ref="K3:L3"/>
    <mergeCell ref="M3:N3"/>
    <mergeCell ref="O3:P3"/>
    <mergeCell ref="Q3:R3"/>
    <mergeCell ref="C3:D3"/>
    <mergeCell ref="E3:F3"/>
    <mergeCell ref="G3:H3"/>
    <mergeCell ref="I3:J3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Footer>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C12" sqref="C12"/>
    </sheetView>
  </sheetViews>
  <sheetFormatPr defaultColWidth="9.140625" defaultRowHeight="12"/>
  <cols>
    <col min="1" max="1" width="6.421875" style="1" customWidth="1"/>
    <col min="2" max="2" width="28.7109375" style="8" customWidth="1"/>
    <col min="3" max="18" width="9.8515625" style="1" customWidth="1"/>
    <col min="19" max="16384" width="9.140625" style="1" customWidth="1"/>
  </cols>
  <sheetData>
    <row r="1" ht="12.75">
      <c r="A1" s="1" t="s">
        <v>46</v>
      </c>
    </row>
    <row r="3" spans="1:18" s="17" customFormat="1" ht="12.75">
      <c r="A3" s="49"/>
      <c r="B3" s="50"/>
      <c r="C3" s="60" t="s">
        <v>7</v>
      </c>
      <c r="D3" s="60"/>
      <c r="E3" s="61" t="s">
        <v>7</v>
      </c>
      <c r="F3" s="60"/>
      <c r="G3" s="61" t="s">
        <v>7</v>
      </c>
      <c r="H3" s="60"/>
      <c r="I3" s="61" t="s">
        <v>7</v>
      </c>
      <c r="J3" s="60"/>
      <c r="K3" s="61" t="s">
        <v>7</v>
      </c>
      <c r="L3" s="60"/>
      <c r="M3" s="61" t="s">
        <v>7</v>
      </c>
      <c r="N3" s="60"/>
      <c r="O3" s="61" t="s">
        <v>7</v>
      </c>
      <c r="P3" s="62"/>
      <c r="Q3" s="60" t="s">
        <v>1</v>
      </c>
      <c r="R3" s="62"/>
    </row>
    <row r="4" spans="1:18" s="2" customFormat="1" ht="12.75">
      <c r="A4" s="46"/>
      <c r="B4" s="47" t="s">
        <v>0</v>
      </c>
      <c r="C4" s="55">
        <v>2000</v>
      </c>
      <c r="D4" s="55"/>
      <c r="E4" s="56">
        <v>2001</v>
      </c>
      <c r="F4" s="55"/>
      <c r="G4" s="56">
        <v>2002</v>
      </c>
      <c r="H4" s="55"/>
      <c r="I4" s="56">
        <v>2003</v>
      </c>
      <c r="J4" s="55"/>
      <c r="K4" s="56">
        <v>2004</v>
      </c>
      <c r="L4" s="57"/>
      <c r="M4" s="55">
        <v>2005</v>
      </c>
      <c r="N4" s="55"/>
      <c r="O4" s="56">
        <v>2006</v>
      </c>
      <c r="P4" s="57"/>
      <c r="Q4" s="58"/>
      <c r="R4" s="59"/>
    </row>
    <row r="5" spans="1:18" ht="25.5">
      <c r="A5" s="39"/>
      <c r="B5" s="51"/>
      <c r="C5" s="48" t="s">
        <v>2</v>
      </c>
      <c r="D5" s="41" t="s">
        <v>5</v>
      </c>
      <c r="E5" s="41" t="s">
        <v>2</v>
      </c>
      <c r="F5" s="41" t="s">
        <v>5</v>
      </c>
      <c r="G5" s="41" t="s">
        <v>2</v>
      </c>
      <c r="H5" s="41" t="s">
        <v>5</v>
      </c>
      <c r="I5" s="41" t="s">
        <v>2</v>
      </c>
      <c r="J5" s="41" t="s">
        <v>5</v>
      </c>
      <c r="K5" s="41" t="s">
        <v>2</v>
      </c>
      <c r="L5" s="41" t="s">
        <v>5</v>
      </c>
      <c r="M5" s="41" t="s">
        <v>2</v>
      </c>
      <c r="N5" s="41" t="s">
        <v>5</v>
      </c>
      <c r="O5" s="41" t="s">
        <v>2</v>
      </c>
      <c r="P5" s="41" t="s">
        <v>5</v>
      </c>
      <c r="Q5" s="41" t="s">
        <v>2</v>
      </c>
      <c r="R5" s="41" t="s">
        <v>5</v>
      </c>
    </row>
    <row r="6" spans="1:18" ht="21">
      <c r="A6" s="23">
        <v>1</v>
      </c>
      <c r="B6" s="31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f>+O6+M6+K6+I6+G6+E6+C6</f>
        <v>0</v>
      </c>
      <c r="R6" s="5">
        <f>+P6+N6+L6+J6+H6+F6+D6</f>
        <v>0</v>
      </c>
    </row>
    <row r="7" spans="1:18" ht="21">
      <c r="A7" s="24">
        <v>2</v>
      </c>
      <c r="B7" s="13" t="s">
        <v>16</v>
      </c>
      <c r="C7" s="5">
        <v>0</v>
      </c>
      <c r="D7" s="5">
        <v>0</v>
      </c>
      <c r="E7" s="5">
        <v>0.583</v>
      </c>
      <c r="F7" s="5">
        <v>0.583</v>
      </c>
      <c r="G7" s="5">
        <v>0.583</v>
      </c>
      <c r="H7" s="5">
        <v>0.583</v>
      </c>
      <c r="I7" s="5">
        <v>0.583</v>
      </c>
      <c r="J7" s="5">
        <v>0.583</v>
      </c>
      <c r="K7" s="5">
        <v>0.583</v>
      </c>
      <c r="L7" s="5">
        <v>0.583</v>
      </c>
      <c r="M7" s="5">
        <v>0.583</v>
      </c>
      <c r="N7" s="5">
        <v>0.583</v>
      </c>
      <c r="O7" s="5">
        <v>0.583</v>
      </c>
      <c r="P7" s="5">
        <v>0.583</v>
      </c>
      <c r="Q7" s="5">
        <f>+O7+M7+K7+I7+G7+E7+C7+0.002</f>
        <v>3.5</v>
      </c>
      <c r="R7" s="5">
        <f>+P7+N7+L7+J7+H7+F7+D7+0.002</f>
        <v>3.5</v>
      </c>
    </row>
    <row r="8" spans="1:18" ht="12.75">
      <c r="A8" s="24">
        <v>3</v>
      </c>
      <c r="B8" s="13" t="s">
        <v>17</v>
      </c>
      <c r="C8" s="5">
        <v>0</v>
      </c>
      <c r="D8" s="5">
        <v>0</v>
      </c>
      <c r="E8" s="5">
        <v>0</v>
      </c>
      <c r="F8" s="5">
        <v>0</v>
      </c>
      <c r="G8" s="5">
        <v>0.15</v>
      </c>
      <c r="H8" s="5">
        <v>0.15</v>
      </c>
      <c r="I8" s="5">
        <v>0.15</v>
      </c>
      <c r="J8" s="5">
        <v>0.15</v>
      </c>
      <c r="K8" s="5">
        <v>0.15</v>
      </c>
      <c r="L8" s="5">
        <v>0.15</v>
      </c>
      <c r="M8" s="5">
        <v>0.15</v>
      </c>
      <c r="N8" s="5">
        <v>0.15</v>
      </c>
      <c r="O8" s="5">
        <v>0.15</v>
      </c>
      <c r="P8" s="5">
        <v>0.15</v>
      </c>
      <c r="Q8" s="5">
        <f>+O8+M8+K8+I8+G8+E8+C8</f>
        <v>0.75</v>
      </c>
      <c r="R8" s="5">
        <f>+P8+N8+L8+J8+H8+F8+D8</f>
        <v>0.75</v>
      </c>
    </row>
    <row r="9" spans="1:18" ht="21">
      <c r="A9" s="24">
        <v>4</v>
      </c>
      <c r="B9" s="13" t="s">
        <v>18</v>
      </c>
      <c r="C9" s="5">
        <v>0</v>
      </c>
      <c r="D9" s="5">
        <v>0</v>
      </c>
      <c r="E9" s="5">
        <v>0.01</v>
      </c>
      <c r="F9" s="5">
        <v>0.009</v>
      </c>
      <c r="G9" s="5">
        <v>0.014</v>
      </c>
      <c r="H9" s="5">
        <v>0.012</v>
      </c>
      <c r="I9" s="5">
        <v>0.014</v>
      </c>
      <c r="J9" s="5">
        <v>0.012</v>
      </c>
      <c r="K9" s="5">
        <v>0.014</v>
      </c>
      <c r="L9" s="5">
        <v>0.012</v>
      </c>
      <c r="M9" s="5">
        <v>0.014</v>
      </c>
      <c r="N9" s="5">
        <v>0.012</v>
      </c>
      <c r="O9" s="5">
        <v>0.014</v>
      </c>
      <c r="P9" s="5">
        <v>0.012</v>
      </c>
      <c r="Q9" s="5">
        <f>+O9+M9+K9+I9+G9+E9+C9+0.002</f>
        <v>0.082</v>
      </c>
      <c r="R9" s="5">
        <f>+P9+N9+L9+J9+H9+F9+D9+0.001</f>
        <v>0.06999999999999999</v>
      </c>
    </row>
    <row r="10" spans="1:18" ht="42">
      <c r="A10" s="24" t="s">
        <v>22</v>
      </c>
      <c r="B10" s="13" t="s">
        <v>40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6.5" customHeight="1">
      <c r="A11" s="22" t="s">
        <v>23</v>
      </c>
      <c r="B11" s="25" t="s">
        <v>25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33.75">
      <c r="A12" s="22" t="s">
        <v>24</v>
      </c>
      <c r="B12" s="25" t="s">
        <v>41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52.5">
      <c r="A13" s="24" t="s">
        <v>12</v>
      </c>
      <c r="B13" s="13" t="s">
        <v>19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f>+O13+M13+K13+I13+G13+E13+C13</f>
        <v>0</v>
      </c>
      <c r="R13" s="5">
        <f>+P13+N13+L13+J13+H13+F13+D13</f>
        <v>0</v>
      </c>
    </row>
    <row r="14" spans="1:18" ht="45">
      <c r="A14" s="22" t="s">
        <v>13</v>
      </c>
      <c r="B14" s="25" t="s">
        <v>20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67.5">
      <c r="A15" s="22" t="s">
        <v>14</v>
      </c>
      <c r="B15" s="25" t="s">
        <v>21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31.5">
      <c r="A16" s="18"/>
      <c r="B16" s="13" t="s">
        <v>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f aca="true" t="shared" si="0" ref="Q16:R20">+O16+M16+K16+I16+G16+E16+C16</f>
        <v>0</v>
      </c>
      <c r="R16" s="5">
        <f t="shared" si="0"/>
        <v>0</v>
      </c>
    </row>
    <row r="17" spans="1:18" ht="42">
      <c r="A17" s="15">
        <v>6</v>
      </c>
      <c r="B17" s="13" t="s">
        <v>26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f t="shared" si="0"/>
        <v>0</v>
      </c>
      <c r="R17" s="5">
        <f t="shared" si="0"/>
        <v>0</v>
      </c>
    </row>
    <row r="18" spans="1:18" ht="42">
      <c r="A18" s="15">
        <v>7</v>
      </c>
      <c r="B18" s="13" t="s">
        <v>27</v>
      </c>
      <c r="C18" s="5">
        <v>0</v>
      </c>
      <c r="D18" s="5">
        <v>0</v>
      </c>
      <c r="E18" s="5">
        <v>0</v>
      </c>
      <c r="F18" s="5">
        <v>0</v>
      </c>
      <c r="G18" s="5">
        <v>0.016</v>
      </c>
      <c r="H18" s="5">
        <v>0.012</v>
      </c>
      <c r="I18" s="5">
        <v>0.035</v>
      </c>
      <c r="J18" s="5">
        <v>0.028</v>
      </c>
      <c r="K18" s="5">
        <v>0.035</v>
      </c>
      <c r="L18" s="5">
        <v>0.028</v>
      </c>
      <c r="M18" s="5">
        <v>0.035</v>
      </c>
      <c r="N18" s="5">
        <v>0.028</v>
      </c>
      <c r="O18" s="5">
        <v>0.035</v>
      </c>
      <c r="P18" s="5">
        <v>0.028</v>
      </c>
      <c r="Q18" s="5">
        <f t="shared" si="0"/>
        <v>0.15600000000000003</v>
      </c>
      <c r="R18" s="5">
        <f t="shared" si="0"/>
        <v>0.124</v>
      </c>
    </row>
    <row r="19" spans="1:18" ht="12.75">
      <c r="A19" s="15">
        <v>8</v>
      </c>
      <c r="B19" s="13" t="s">
        <v>28</v>
      </c>
      <c r="C19" s="5">
        <v>0</v>
      </c>
      <c r="D19" s="5">
        <v>0</v>
      </c>
      <c r="E19" s="5">
        <v>0.075</v>
      </c>
      <c r="F19" s="5">
        <v>0.075</v>
      </c>
      <c r="G19" s="5">
        <v>0.135</v>
      </c>
      <c r="H19" s="5">
        <v>0.135</v>
      </c>
      <c r="I19" s="5">
        <v>0.135</v>
      </c>
      <c r="J19" s="5">
        <v>0.135</v>
      </c>
      <c r="K19" s="5">
        <v>0.135</v>
      </c>
      <c r="L19" s="5">
        <v>0.135</v>
      </c>
      <c r="M19" s="5">
        <v>0.135</v>
      </c>
      <c r="N19" s="5">
        <v>0.135</v>
      </c>
      <c r="O19" s="5">
        <v>0.135</v>
      </c>
      <c r="P19" s="5">
        <v>0.135</v>
      </c>
      <c r="Q19" s="5">
        <f t="shared" si="0"/>
        <v>0.75</v>
      </c>
      <c r="R19" s="5">
        <f t="shared" si="0"/>
        <v>0.75</v>
      </c>
    </row>
    <row r="20" spans="1:18" ht="52.5">
      <c r="A20" s="15">
        <v>9</v>
      </c>
      <c r="B20" s="13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f t="shared" si="0"/>
        <v>0</v>
      </c>
      <c r="R20" s="5">
        <f t="shared" si="0"/>
        <v>0</v>
      </c>
    </row>
    <row r="21" spans="1:18" ht="21">
      <c r="A21" s="15">
        <v>10</v>
      </c>
      <c r="B21" s="13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0.022</v>
      </c>
      <c r="H21" s="5">
        <v>0.018</v>
      </c>
      <c r="I21" s="5">
        <v>0.041</v>
      </c>
      <c r="J21" s="5">
        <v>0.033</v>
      </c>
      <c r="K21" s="5">
        <v>0.041</v>
      </c>
      <c r="L21" s="5">
        <v>0.033</v>
      </c>
      <c r="M21" s="5">
        <v>0.041</v>
      </c>
      <c r="N21" s="5">
        <v>0.033</v>
      </c>
      <c r="O21" s="5">
        <v>0.041</v>
      </c>
      <c r="P21" s="5">
        <v>0.033</v>
      </c>
      <c r="Q21" s="5">
        <f>+O21+M21+K21+I21+G21+E21+C21+0.001</f>
        <v>0.187</v>
      </c>
      <c r="R21" s="5">
        <f>+P21+N21+L21+J21+H21+F21+D21</f>
        <v>0.15</v>
      </c>
    </row>
    <row r="22" spans="1:18" ht="42">
      <c r="A22" s="15">
        <v>11</v>
      </c>
      <c r="B22" s="13" t="s">
        <v>31</v>
      </c>
      <c r="C22" s="5">
        <v>0</v>
      </c>
      <c r="D22" s="5">
        <v>0</v>
      </c>
      <c r="E22" s="5">
        <v>0.439</v>
      </c>
      <c r="F22" s="5">
        <v>0.351</v>
      </c>
      <c r="G22" s="5">
        <v>1.141</v>
      </c>
      <c r="H22" s="5">
        <v>0.913</v>
      </c>
      <c r="I22" s="5">
        <v>1.199</v>
      </c>
      <c r="J22" s="5">
        <v>0.959</v>
      </c>
      <c r="K22" s="5">
        <v>1.199</v>
      </c>
      <c r="L22" s="5">
        <v>0.959</v>
      </c>
      <c r="M22" s="5">
        <v>0.907</v>
      </c>
      <c r="N22" s="5">
        <v>0.725</v>
      </c>
      <c r="O22" s="5">
        <v>0.966</v>
      </c>
      <c r="P22" s="5">
        <v>0.772</v>
      </c>
      <c r="Q22" s="5">
        <f>+O22+M22+K22+I22+G22+E22+C22-0.001</f>
        <v>5.85</v>
      </c>
      <c r="R22" s="5">
        <f>+P22+N22+L22+J22+H22+F22+D22+0.001</f>
        <v>4.680000000000001</v>
      </c>
    </row>
    <row r="23" spans="1:18" ht="22.5">
      <c r="A23" s="15">
        <v>12</v>
      </c>
      <c r="B23" s="14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 aca="true" t="shared" si="1" ref="Q23:R26">+O23+M23+K23+I23+G23+E23+C23</f>
        <v>0</v>
      </c>
      <c r="R23" s="5">
        <f t="shared" si="1"/>
        <v>0</v>
      </c>
    </row>
    <row r="24" spans="1:18" s="8" customFormat="1" ht="21">
      <c r="A24" s="18">
        <v>13</v>
      </c>
      <c r="B24" s="13" t="s">
        <v>33</v>
      </c>
      <c r="C24" s="19">
        <v>0</v>
      </c>
      <c r="D24" s="19">
        <v>0</v>
      </c>
      <c r="E24" s="19">
        <v>0.1</v>
      </c>
      <c r="F24" s="19">
        <v>0.1</v>
      </c>
      <c r="G24" s="19">
        <v>0.1</v>
      </c>
      <c r="H24" s="19">
        <v>0.1</v>
      </c>
      <c r="I24" s="19">
        <v>0.1</v>
      </c>
      <c r="J24" s="19">
        <v>0.1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5">
        <f t="shared" si="1"/>
        <v>3.3000000000000003</v>
      </c>
      <c r="R24" s="5">
        <f t="shared" si="1"/>
        <v>3.3000000000000003</v>
      </c>
    </row>
    <row r="25" spans="1:18" s="8" customFormat="1" ht="12.75">
      <c r="A25" s="18"/>
      <c r="B25" s="13" t="s">
        <v>6</v>
      </c>
      <c r="C25" s="19">
        <v>1</v>
      </c>
      <c r="D25" s="19">
        <v>1</v>
      </c>
      <c r="E25" s="19">
        <v>0.9</v>
      </c>
      <c r="F25" s="19">
        <v>0.9</v>
      </c>
      <c r="G25" s="19">
        <v>0.9</v>
      </c>
      <c r="H25" s="19">
        <v>0.9</v>
      </c>
      <c r="I25" s="19">
        <v>0.9</v>
      </c>
      <c r="J25" s="19">
        <v>0.9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5">
        <f t="shared" si="1"/>
        <v>3.7</v>
      </c>
      <c r="R25" s="5">
        <f t="shared" si="1"/>
        <v>3.7</v>
      </c>
    </row>
    <row r="26" spans="1:18" ht="31.5">
      <c r="A26" s="15">
        <v>14</v>
      </c>
      <c r="B26" s="13" t="s">
        <v>34</v>
      </c>
      <c r="C26" s="5">
        <v>0</v>
      </c>
      <c r="D26" s="5">
        <v>0</v>
      </c>
      <c r="E26" s="5">
        <v>4.836</v>
      </c>
      <c r="F26" s="5">
        <v>4.836</v>
      </c>
      <c r="G26" s="5">
        <v>4.496</v>
      </c>
      <c r="H26" s="5">
        <f>+G26</f>
        <v>4.496</v>
      </c>
      <c r="I26" s="5">
        <v>3.596</v>
      </c>
      <c r="J26" s="5">
        <f>+I26</f>
        <v>3.596</v>
      </c>
      <c r="K26" s="5">
        <v>3.596</v>
      </c>
      <c r="L26" s="5">
        <f>+K26</f>
        <v>3.596</v>
      </c>
      <c r="M26" s="5">
        <v>3.596</v>
      </c>
      <c r="N26" s="5">
        <f>+M26</f>
        <v>3.596</v>
      </c>
      <c r="O26" s="5">
        <v>3.593</v>
      </c>
      <c r="P26" s="5">
        <f>+O26</f>
        <v>3.593</v>
      </c>
      <c r="Q26" s="5">
        <f t="shared" si="1"/>
        <v>23.713</v>
      </c>
      <c r="R26" s="5">
        <f t="shared" si="1"/>
        <v>23.713</v>
      </c>
    </row>
    <row r="27" spans="1:18" ht="63">
      <c r="A27" s="15" t="s">
        <v>9</v>
      </c>
      <c r="B27" s="13" t="s">
        <v>35</v>
      </c>
      <c r="C27" s="5">
        <v>0</v>
      </c>
      <c r="D27" s="5">
        <v>0</v>
      </c>
      <c r="E27" s="5">
        <v>0</v>
      </c>
      <c r="F27" s="5">
        <v>0</v>
      </c>
      <c r="G27" s="5">
        <v>0.018</v>
      </c>
      <c r="H27" s="5">
        <v>0.009</v>
      </c>
      <c r="I27" s="5">
        <v>0.041</v>
      </c>
      <c r="J27" s="5">
        <v>0.021</v>
      </c>
      <c r="K27" s="5">
        <v>0.041</v>
      </c>
      <c r="L27" s="5">
        <v>0.021</v>
      </c>
      <c r="M27" s="5">
        <v>0.041</v>
      </c>
      <c r="N27" s="5">
        <v>0.021</v>
      </c>
      <c r="O27" s="5">
        <v>0.041</v>
      </c>
      <c r="P27" s="5">
        <v>0.021</v>
      </c>
      <c r="Q27" s="5">
        <f>+O27+M27+K27+I27+G27+E27+C27+0.001</f>
        <v>0.183</v>
      </c>
      <c r="R27" s="5">
        <f>+P27+N27+L27+J27+H27+F27+D27-0.001</f>
        <v>0.092</v>
      </c>
    </row>
    <row r="28" spans="1:18" ht="52.5">
      <c r="A28" s="15" t="s">
        <v>37</v>
      </c>
      <c r="B28" s="13" t="s">
        <v>36</v>
      </c>
      <c r="C28" s="5">
        <f>SUM(C29:C30)</f>
        <v>0</v>
      </c>
      <c r="D28" s="5">
        <f aca="true" t="shared" si="2" ref="D28:P28">SUM(D29:D30)</f>
        <v>0</v>
      </c>
      <c r="E28" s="5">
        <f t="shared" si="2"/>
        <v>0.627</v>
      </c>
      <c r="F28" s="5">
        <f t="shared" si="2"/>
        <v>0.534</v>
      </c>
      <c r="G28" s="5">
        <f t="shared" si="2"/>
        <v>0.535</v>
      </c>
      <c r="H28" s="5">
        <f t="shared" si="2"/>
        <v>0.455</v>
      </c>
      <c r="I28" s="5">
        <f t="shared" si="2"/>
        <v>0.541</v>
      </c>
      <c r="J28" s="5">
        <f t="shared" si="2"/>
        <v>0.46</v>
      </c>
      <c r="K28" s="5">
        <f t="shared" si="2"/>
        <v>0.591</v>
      </c>
      <c r="L28" s="5">
        <f t="shared" si="2"/>
        <v>0.503</v>
      </c>
      <c r="M28" s="5">
        <f t="shared" si="2"/>
        <v>0.714</v>
      </c>
      <c r="N28" s="5">
        <f t="shared" si="2"/>
        <v>0.608</v>
      </c>
      <c r="O28" s="5">
        <f t="shared" si="2"/>
        <v>0.757</v>
      </c>
      <c r="P28" s="5">
        <f t="shared" si="2"/>
        <v>0.644</v>
      </c>
      <c r="Q28" s="5">
        <f>+O28+M28+K28+I28+G28+E28+C28-0.002</f>
        <v>3.763000000000001</v>
      </c>
      <c r="R28" s="5">
        <f>+P28+N28+L28+J28+H28+F28+D28-0.002</f>
        <v>3.202</v>
      </c>
    </row>
    <row r="29" spans="1:18" ht="45">
      <c r="A29" s="15" t="s">
        <v>10</v>
      </c>
      <c r="B29" s="25" t="s">
        <v>39</v>
      </c>
      <c r="C29" s="5">
        <v>0</v>
      </c>
      <c r="D29" s="5">
        <v>0</v>
      </c>
      <c r="E29" s="5">
        <v>0.627</v>
      </c>
      <c r="F29" s="5">
        <v>0.534</v>
      </c>
      <c r="G29" s="5">
        <v>0.535</v>
      </c>
      <c r="H29" s="5">
        <v>0.455</v>
      </c>
      <c r="I29" s="5">
        <v>0.541</v>
      </c>
      <c r="J29" s="5">
        <v>0.46</v>
      </c>
      <c r="K29" s="5">
        <v>0.591</v>
      </c>
      <c r="L29" s="5">
        <v>0.503</v>
      </c>
      <c r="M29" s="5">
        <v>0.714</v>
      </c>
      <c r="N29" s="5">
        <v>0.608</v>
      </c>
      <c r="O29" s="5">
        <v>0.757</v>
      </c>
      <c r="P29" s="5">
        <v>0.644</v>
      </c>
      <c r="Q29" s="5">
        <f>+O29+M29+K29+I29+G29+E29+C29-0.002</f>
        <v>3.763000000000001</v>
      </c>
      <c r="R29" s="5">
        <f>+P29+N29+L29+J29+H29+F29+D29-0.002</f>
        <v>3.202</v>
      </c>
    </row>
    <row r="30" spans="1:18" ht="22.5">
      <c r="A30" s="15" t="s">
        <v>11</v>
      </c>
      <c r="B30" s="25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7" customFormat="1" ht="12.75">
      <c r="A31" s="12"/>
      <c r="B31" s="32" t="s">
        <v>4</v>
      </c>
      <c r="C31" s="6">
        <f aca="true" t="shared" si="3" ref="C31:P31">SUM(C6:C28)</f>
        <v>1</v>
      </c>
      <c r="D31" s="6">
        <f t="shared" si="3"/>
        <v>1</v>
      </c>
      <c r="E31" s="6">
        <f t="shared" si="3"/>
        <v>7.57</v>
      </c>
      <c r="F31" s="6">
        <f t="shared" si="3"/>
        <v>7.388</v>
      </c>
      <c r="G31" s="6">
        <f t="shared" si="3"/>
        <v>8.11</v>
      </c>
      <c r="H31" s="6">
        <f t="shared" si="3"/>
        <v>7.783000000000001</v>
      </c>
      <c r="I31" s="6">
        <f t="shared" si="3"/>
        <v>7.335000000000001</v>
      </c>
      <c r="J31" s="6">
        <f>SUM(J6:J28)+0.001</f>
        <v>6.978000000000001</v>
      </c>
      <c r="K31" s="6">
        <f t="shared" si="3"/>
        <v>7.385000000000001</v>
      </c>
      <c r="L31" s="6">
        <f t="shared" si="3"/>
        <v>7.0200000000000005</v>
      </c>
      <c r="M31" s="6">
        <f t="shared" si="3"/>
        <v>7.216000000000001</v>
      </c>
      <c r="N31" s="6">
        <f t="shared" si="3"/>
        <v>6.891</v>
      </c>
      <c r="O31" s="6">
        <f t="shared" si="3"/>
        <v>7.3149999999999995</v>
      </c>
      <c r="P31" s="6">
        <f t="shared" si="3"/>
        <v>6.971</v>
      </c>
      <c r="Q31" s="6">
        <f>SUM(Q6:Q28)</f>
        <v>45.934</v>
      </c>
      <c r="R31" s="6">
        <f>SUM(R6:R28)</f>
        <v>44.031</v>
      </c>
    </row>
    <row r="32" spans="2:18" ht="12.75"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5:18" ht="12.75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2:17" ht="12.75">
      <c r="B34" s="10"/>
      <c r="Q34" s="29"/>
    </row>
    <row r="35" spans="3:20" ht="12.7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</sheetData>
  <mergeCells count="16">
    <mergeCell ref="O3:P3"/>
    <mergeCell ref="O4:P4"/>
    <mergeCell ref="Q3:R3"/>
    <mergeCell ref="Q4:R4"/>
    <mergeCell ref="K3:L3"/>
    <mergeCell ref="K4:L4"/>
    <mergeCell ref="M3:N3"/>
    <mergeCell ref="M4:N4"/>
    <mergeCell ref="G3:H3"/>
    <mergeCell ref="G4:H4"/>
    <mergeCell ref="I3:J3"/>
    <mergeCell ref="I4:J4"/>
    <mergeCell ref="C3:D3"/>
    <mergeCell ref="C4:D4"/>
    <mergeCell ref="E3:F3"/>
    <mergeCell ref="E4:F4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Footer>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showZeros="0" workbookViewId="0" topLeftCell="A1">
      <selection activeCell="C12" sqref="C12"/>
    </sheetView>
  </sheetViews>
  <sheetFormatPr defaultColWidth="9.140625" defaultRowHeight="12"/>
  <cols>
    <col min="1" max="1" width="6.421875" style="1" customWidth="1"/>
    <col min="2" max="2" width="28.7109375" style="8" customWidth="1"/>
    <col min="3" max="18" width="9.8515625" style="1" customWidth="1"/>
    <col min="19" max="16384" width="9.140625" style="1" customWidth="1"/>
  </cols>
  <sheetData>
    <row r="1" ht="12.75">
      <c r="A1" s="1" t="s">
        <v>47</v>
      </c>
    </row>
    <row r="3" spans="1:18" s="17" customFormat="1" ht="12.75">
      <c r="A3" s="49"/>
      <c r="B3" s="50"/>
      <c r="C3" s="60" t="s">
        <v>7</v>
      </c>
      <c r="D3" s="60"/>
      <c r="E3" s="61" t="s">
        <v>7</v>
      </c>
      <c r="F3" s="60"/>
      <c r="G3" s="61" t="s">
        <v>7</v>
      </c>
      <c r="H3" s="60"/>
      <c r="I3" s="61" t="s">
        <v>7</v>
      </c>
      <c r="J3" s="60"/>
      <c r="K3" s="61" t="s">
        <v>7</v>
      </c>
      <c r="L3" s="60"/>
      <c r="M3" s="61" t="s">
        <v>7</v>
      </c>
      <c r="N3" s="60"/>
      <c r="O3" s="61" t="s">
        <v>7</v>
      </c>
      <c r="P3" s="62"/>
      <c r="Q3" s="60" t="s">
        <v>1</v>
      </c>
      <c r="R3" s="62"/>
    </row>
    <row r="4" spans="1:18" s="2" customFormat="1" ht="12.75">
      <c r="A4" s="46"/>
      <c r="B4" s="47" t="s">
        <v>0</v>
      </c>
      <c r="C4" s="55">
        <v>2000</v>
      </c>
      <c r="D4" s="55"/>
      <c r="E4" s="56">
        <v>2001</v>
      </c>
      <c r="F4" s="55"/>
      <c r="G4" s="56">
        <v>2002</v>
      </c>
      <c r="H4" s="55"/>
      <c r="I4" s="56">
        <v>2003</v>
      </c>
      <c r="J4" s="55"/>
      <c r="K4" s="56">
        <v>2004</v>
      </c>
      <c r="L4" s="57"/>
      <c r="M4" s="55">
        <v>2005</v>
      </c>
      <c r="N4" s="55"/>
      <c r="O4" s="56">
        <v>2006</v>
      </c>
      <c r="P4" s="57"/>
      <c r="Q4" s="58"/>
      <c r="R4" s="59"/>
    </row>
    <row r="5" spans="1:18" ht="38.25">
      <c r="A5" s="39"/>
      <c r="B5" s="51"/>
      <c r="C5" s="48" t="s">
        <v>42</v>
      </c>
      <c r="D5" s="41" t="s">
        <v>5</v>
      </c>
      <c r="E5" s="48" t="s">
        <v>42</v>
      </c>
      <c r="F5" s="41" t="s">
        <v>5</v>
      </c>
      <c r="G5" s="48" t="s">
        <v>42</v>
      </c>
      <c r="H5" s="41" t="s">
        <v>5</v>
      </c>
      <c r="I5" s="48" t="s">
        <v>42</v>
      </c>
      <c r="J5" s="41" t="s">
        <v>5</v>
      </c>
      <c r="K5" s="48" t="s">
        <v>42</v>
      </c>
      <c r="L5" s="41" t="s">
        <v>5</v>
      </c>
      <c r="M5" s="48" t="s">
        <v>42</v>
      </c>
      <c r="N5" s="41" t="s">
        <v>5</v>
      </c>
      <c r="O5" s="48" t="s">
        <v>42</v>
      </c>
      <c r="P5" s="41" t="s">
        <v>5</v>
      </c>
      <c r="Q5" s="48" t="s">
        <v>42</v>
      </c>
      <c r="R5" s="41" t="s">
        <v>5</v>
      </c>
    </row>
    <row r="6" spans="1:18" ht="21">
      <c r="A6" s="23">
        <v>1</v>
      </c>
      <c r="B6" s="31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f>+O6+M6+K6+I6+G6+E6+C6</f>
        <v>0</v>
      </c>
      <c r="R6" s="5">
        <f>+P6+N6+L6+J6+H6+F6+D6</f>
        <v>0</v>
      </c>
    </row>
    <row r="7" spans="1:18" ht="21">
      <c r="A7" s="24">
        <v>2</v>
      </c>
      <c r="B7" s="13" t="s">
        <v>16</v>
      </c>
      <c r="C7" s="5">
        <v>0</v>
      </c>
      <c r="D7" s="5">
        <v>0</v>
      </c>
      <c r="E7" s="5">
        <v>0.583</v>
      </c>
      <c r="F7" s="5">
        <v>0.583</v>
      </c>
      <c r="G7" s="5">
        <v>0.583</v>
      </c>
      <c r="H7" s="5">
        <v>0.583</v>
      </c>
      <c r="I7" s="5">
        <v>0.583</v>
      </c>
      <c r="J7" s="5">
        <v>0.583</v>
      </c>
      <c r="K7" s="5">
        <v>0.583</v>
      </c>
      <c r="L7" s="5">
        <v>0.583</v>
      </c>
      <c r="M7" s="5">
        <v>0.583</v>
      </c>
      <c r="N7" s="5">
        <v>0.583</v>
      </c>
      <c r="O7" s="5">
        <v>0.583</v>
      </c>
      <c r="P7" s="5">
        <v>0.583</v>
      </c>
      <c r="Q7" s="5">
        <f>+O7+M7+K7+I7+G7+E7+C7+0.002</f>
        <v>3.5</v>
      </c>
      <c r="R7" s="5">
        <f>+P7+N7+L7+J7+H7+F7+D7+0.002</f>
        <v>3.5</v>
      </c>
    </row>
    <row r="8" spans="1:18" ht="12.75">
      <c r="A8" s="24">
        <v>3</v>
      </c>
      <c r="B8" s="13" t="s">
        <v>17</v>
      </c>
      <c r="C8" s="5">
        <v>0</v>
      </c>
      <c r="D8" s="5">
        <v>0</v>
      </c>
      <c r="E8" s="5">
        <v>0</v>
      </c>
      <c r="F8" s="5">
        <v>0</v>
      </c>
      <c r="G8" s="5">
        <v>0.15</v>
      </c>
      <c r="H8" s="5">
        <v>0.15</v>
      </c>
      <c r="I8" s="5">
        <v>0.15</v>
      </c>
      <c r="J8" s="5">
        <v>0.15</v>
      </c>
      <c r="K8" s="5">
        <v>0.15</v>
      </c>
      <c r="L8" s="5">
        <v>0.15</v>
      </c>
      <c r="M8" s="5">
        <v>0.15</v>
      </c>
      <c r="N8" s="5">
        <v>0.15</v>
      </c>
      <c r="O8" s="5">
        <v>0.15</v>
      </c>
      <c r="P8" s="5">
        <v>0.15</v>
      </c>
      <c r="Q8" s="5">
        <f>+O8+M8+K8+I8+G8+E8+C8</f>
        <v>0.75</v>
      </c>
      <c r="R8" s="5">
        <f>+P8+N8+L8+J8+H8+F8+D8</f>
        <v>0.75</v>
      </c>
    </row>
    <row r="9" spans="1:18" ht="21">
      <c r="A9" s="24">
        <v>4</v>
      </c>
      <c r="B9" s="13" t="s">
        <v>18</v>
      </c>
      <c r="C9" s="5">
        <v>0</v>
      </c>
      <c r="D9" s="5">
        <v>0</v>
      </c>
      <c r="E9" s="5">
        <v>0.009</v>
      </c>
      <c r="F9" s="5">
        <v>0.009</v>
      </c>
      <c r="G9" s="5">
        <v>0.012</v>
      </c>
      <c r="H9" s="5">
        <v>0.012</v>
      </c>
      <c r="I9" s="5">
        <v>0.012</v>
      </c>
      <c r="J9" s="5">
        <v>0.012</v>
      </c>
      <c r="K9" s="5">
        <v>0.012</v>
      </c>
      <c r="L9" s="5">
        <v>0.012</v>
      </c>
      <c r="M9" s="5">
        <v>0.012</v>
      </c>
      <c r="N9" s="5">
        <v>0.012</v>
      </c>
      <c r="O9" s="5">
        <v>0.012</v>
      </c>
      <c r="P9" s="5">
        <v>0.012</v>
      </c>
      <c r="Q9" s="5">
        <f>+O9+M9+K9+I9+G9+E9+C9+0.001</f>
        <v>0.06999999999999999</v>
      </c>
      <c r="R9" s="5">
        <f>+P9+N9+L9+J9+H9+F9+D9+0.001</f>
        <v>0.06999999999999999</v>
      </c>
    </row>
    <row r="10" spans="1:18" ht="42">
      <c r="A10" s="24" t="s">
        <v>22</v>
      </c>
      <c r="B10" s="13" t="s">
        <v>40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6.5" customHeight="1">
      <c r="A11" s="22" t="s">
        <v>23</v>
      </c>
      <c r="B11" s="25" t="s">
        <v>25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33.75">
      <c r="A12" s="22" t="s">
        <v>24</v>
      </c>
      <c r="B12" s="25" t="s">
        <v>41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52.5">
      <c r="A13" s="24" t="s">
        <v>12</v>
      </c>
      <c r="B13" s="13" t="s">
        <v>19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f>+O13+M13+K13+I13+G13+E13+C13</f>
        <v>0</v>
      </c>
      <c r="R13" s="5">
        <f>+P13+N13+L13+J13+H13+F13+D13</f>
        <v>0</v>
      </c>
    </row>
    <row r="14" spans="1:18" ht="45">
      <c r="A14" s="22" t="s">
        <v>13</v>
      </c>
      <c r="B14" s="25" t="s">
        <v>20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67.5">
      <c r="A15" s="22" t="s">
        <v>14</v>
      </c>
      <c r="B15" s="25" t="s">
        <v>21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31.5">
      <c r="A16" s="18"/>
      <c r="B16" s="13" t="s">
        <v>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f aca="true" t="shared" si="0" ref="Q16:R20">+O16+M16+K16+I16+G16+E16+C16</f>
        <v>0</v>
      </c>
      <c r="R16" s="5">
        <f t="shared" si="0"/>
        <v>0</v>
      </c>
    </row>
    <row r="17" spans="1:18" ht="42">
      <c r="A17" s="15">
        <v>6</v>
      </c>
      <c r="B17" s="13" t="s">
        <v>26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f t="shared" si="0"/>
        <v>0</v>
      </c>
      <c r="R17" s="5">
        <f t="shared" si="0"/>
        <v>0</v>
      </c>
    </row>
    <row r="18" spans="1:18" ht="42">
      <c r="A18" s="15">
        <v>7</v>
      </c>
      <c r="B18" s="13" t="s">
        <v>27</v>
      </c>
      <c r="C18" s="5">
        <v>0</v>
      </c>
      <c r="D18" s="5">
        <v>0</v>
      </c>
      <c r="E18" s="5">
        <v>0</v>
      </c>
      <c r="F18" s="5">
        <v>0</v>
      </c>
      <c r="G18" s="5">
        <v>0.012</v>
      </c>
      <c r="H18" s="5">
        <v>0.012</v>
      </c>
      <c r="I18" s="5">
        <v>0.028</v>
      </c>
      <c r="J18" s="5">
        <v>0.028</v>
      </c>
      <c r="K18" s="5">
        <v>0.028</v>
      </c>
      <c r="L18" s="5">
        <v>0.028</v>
      </c>
      <c r="M18" s="5">
        <v>0.028</v>
      </c>
      <c r="N18" s="5">
        <v>0.028</v>
      </c>
      <c r="O18" s="5">
        <v>0.028</v>
      </c>
      <c r="P18" s="5">
        <v>0.028</v>
      </c>
      <c r="Q18" s="5">
        <f t="shared" si="0"/>
        <v>0.124</v>
      </c>
      <c r="R18" s="5">
        <f t="shared" si="0"/>
        <v>0.124</v>
      </c>
    </row>
    <row r="19" spans="1:18" ht="12.75">
      <c r="A19" s="15">
        <v>8</v>
      </c>
      <c r="B19" s="13" t="s">
        <v>28</v>
      </c>
      <c r="C19" s="5">
        <v>0</v>
      </c>
      <c r="D19" s="5">
        <v>0</v>
      </c>
      <c r="E19" s="5">
        <v>0.075</v>
      </c>
      <c r="F19" s="5">
        <v>0.075</v>
      </c>
      <c r="G19" s="5">
        <v>0.135</v>
      </c>
      <c r="H19" s="5">
        <v>0.135</v>
      </c>
      <c r="I19" s="5">
        <v>0.135</v>
      </c>
      <c r="J19" s="5">
        <v>0.135</v>
      </c>
      <c r="K19" s="5">
        <v>0.135</v>
      </c>
      <c r="L19" s="5">
        <v>0.135</v>
      </c>
      <c r="M19" s="5">
        <v>0.135</v>
      </c>
      <c r="N19" s="5">
        <v>0.135</v>
      </c>
      <c r="O19" s="5">
        <v>0.135</v>
      </c>
      <c r="P19" s="5">
        <v>0.135</v>
      </c>
      <c r="Q19" s="5">
        <f t="shared" si="0"/>
        <v>0.75</v>
      </c>
      <c r="R19" s="5">
        <f t="shared" si="0"/>
        <v>0.75</v>
      </c>
    </row>
    <row r="20" spans="1:18" ht="52.5">
      <c r="A20" s="15">
        <v>9</v>
      </c>
      <c r="B20" s="13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f t="shared" si="0"/>
        <v>0</v>
      </c>
      <c r="R20" s="5">
        <f t="shared" si="0"/>
        <v>0</v>
      </c>
    </row>
    <row r="21" spans="1:18" ht="21">
      <c r="A21" s="15">
        <v>10</v>
      </c>
      <c r="B21" s="13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0.018</v>
      </c>
      <c r="H21" s="5">
        <v>0.018</v>
      </c>
      <c r="I21" s="5">
        <v>0.033</v>
      </c>
      <c r="J21" s="5">
        <v>0.033</v>
      </c>
      <c r="K21" s="5">
        <v>0.033</v>
      </c>
      <c r="L21" s="5">
        <v>0.033</v>
      </c>
      <c r="M21" s="5">
        <v>0.033</v>
      </c>
      <c r="N21" s="5">
        <v>0.033</v>
      </c>
      <c r="O21" s="5">
        <v>0.033</v>
      </c>
      <c r="P21" s="5">
        <v>0.033</v>
      </c>
      <c r="Q21" s="5">
        <f>+O21+M21+K21+I21+G21+E21+C21</f>
        <v>0.15</v>
      </c>
      <c r="R21" s="5">
        <f>+P21+N21+L21+J21+H21+F21+D21</f>
        <v>0.15</v>
      </c>
    </row>
    <row r="22" spans="1:18" ht="42">
      <c r="A22" s="15">
        <v>11</v>
      </c>
      <c r="B22" s="13" t="s">
        <v>31</v>
      </c>
      <c r="C22" s="5">
        <v>0</v>
      </c>
      <c r="D22" s="5">
        <v>0</v>
      </c>
      <c r="E22" s="5">
        <v>0.351</v>
      </c>
      <c r="F22" s="5">
        <v>0.351</v>
      </c>
      <c r="G22" s="5">
        <v>0.913</v>
      </c>
      <c r="H22" s="5">
        <v>0.913</v>
      </c>
      <c r="I22" s="5">
        <v>0.959</v>
      </c>
      <c r="J22" s="5">
        <v>0.959</v>
      </c>
      <c r="K22" s="5">
        <v>0.959</v>
      </c>
      <c r="L22" s="5">
        <v>0.959</v>
      </c>
      <c r="M22" s="5">
        <v>0.725</v>
      </c>
      <c r="N22" s="5">
        <v>0.725</v>
      </c>
      <c r="O22" s="5">
        <v>0.772</v>
      </c>
      <c r="P22" s="5">
        <v>0.772</v>
      </c>
      <c r="Q22" s="5">
        <f>+O22+M22+K22+I22+G22+E22+C22+0.001</f>
        <v>4.680000000000001</v>
      </c>
      <c r="R22" s="5">
        <f>+P22+N22+L22+J22+H22+F22+D22+0.001</f>
        <v>4.680000000000001</v>
      </c>
    </row>
    <row r="23" spans="1:18" ht="22.5">
      <c r="A23" s="15">
        <v>12</v>
      </c>
      <c r="B23" s="14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 aca="true" t="shared" si="1" ref="Q23:R26">+O23+M23+K23+I23+G23+E23+C23</f>
        <v>0</v>
      </c>
      <c r="R23" s="5">
        <f t="shared" si="1"/>
        <v>0</v>
      </c>
    </row>
    <row r="24" spans="1:18" s="8" customFormat="1" ht="21">
      <c r="A24" s="18">
        <v>13</v>
      </c>
      <c r="B24" s="13" t="s">
        <v>33</v>
      </c>
      <c r="C24" s="19">
        <v>0</v>
      </c>
      <c r="D24" s="19">
        <v>0</v>
      </c>
      <c r="E24" s="19">
        <v>0.1</v>
      </c>
      <c r="F24" s="19">
        <v>0.1</v>
      </c>
      <c r="G24" s="19">
        <v>0.1</v>
      </c>
      <c r="H24" s="19">
        <v>0.1</v>
      </c>
      <c r="I24" s="19">
        <v>0.1</v>
      </c>
      <c r="J24" s="19">
        <v>0.1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5">
        <f t="shared" si="1"/>
        <v>3.3000000000000003</v>
      </c>
      <c r="R24" s="5">
        <f t="shared" si="1"/>
        <v>3.3000000000000003</v>
      </c>
    </row>
    <row r="25" spans="1:18" s="8" customFormat="1" ht="12.75">
      <c r="A25" s="18"/>
      <c r="B25" s="13" t="s">
        <v>6</v>
      </c>
      <c r="C25" s="19">
        <v>1</v>
      </c>
      <c r="D25" s="19">
        <v>1</v>
      </c>
      <c r="E25" s="19">
        <v>0.9</v>
      </c>
      <c r="F25" s="19">
        <v>0.9</v>
      </c>
      <c r="G25" s="19">
        <v>0.9</v>
      </c>
      <c r="H25" s="19">
        <v>0.9</v>
      </c>
      <c r="I25" s="19">
        <v>0.9</v>
      </c>
      <c r="J25" s="19">
        <v>0.9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5">
        <f t="shared" si="1"/>
        <v>3.7</v>
      </c>
      <c r="R25" s="5">
        <f t="shared" si="1"/>
        <v>3.7</v>
      </c>
    </row>
    <row r="26" spans="1:18" ht="31.5">
      <c r="A26" s="15">
        <v>14</v>
      </c>
      <c r="B26" s="13" t="s">
        <v>34</v>
      </c>
      <c r="C26" s="5">
        <v>0</v>
      </c>
      <c r="D26" s="5">
        <v>0</v>
      </c>
      <c r="E26" s="5">
        <v>4.836</v>
      </c>
      <c r="F26" s="5">
        <v>4.836</v>
      </c>
      <c r="G26" s="5">
        <v>4.496</v>
      </c>
      <c r="H26" s="5">
        <f>+G26</f>
        <v>4.496</v>
      </c>
      <c r="I26" s="5">
        <v>3.596</v>
      </c>
      <c r="J26" s="5">
        <f>+I26</f>
        <v>3.596</v>
      </c>
      <c r="K26" s="5">
        <v>3.596</v>
      </c>
      <c r="L26" s="5">
        <f>+K26</f>
        <v>3.596</v>
      </c>
      <c r="M26" s="5">
        <v>3.596</v>
      </c>
      <c r="N26" s="5">
        <f>+M26</f>
        <v>3.596</v>
      </c>
      <c r="O26" s="5">
        <v>3.593</v>
      </c>
      <c r="P26" s="5">
        <f>+O26</f>
        <v>3.593</v>
      </c>
      <c r="Q26" s="5">
        <f t="shared" si="1"/>
        <v>23.713</v>
      </c>
      <c r="R26" s="5">
        <f t="shared" si="1"/>
        <v>23.713</v>
      </c>
    </row>
    <row r="27" spans="1:18" ht="63">
      <c r="A27" s="15" t="s">
        <v>9</v>
      </c>
      <c r="B27" s="13" t="s">
        <v>35</v>
      </c>
      <c r="C27" s="5">
        <v>0</v>
      </c>
      <c r="D27" s="5">
        <v>0</v>
      </c>
      <c r="E27" s="5">
        <v>0</v>
      </c>
      <c r="F27" s="5">
        <v>0</v>
      </c>
      <c r="G27" s="5">
        <v>0.009</v>
      </c>
      <c r="H27" s="5">
        <v>0.009</v>
      </c>
      <c r="I27" s="5">
        <v>0.021</v>
      </c>
      <c r="J27" s="5">
        <v>0.021</v>
      </c>
      <c r="K27" s="5">
        <v>0.021</v>
      </c>
      <c r="L27" s="5">
        <v>0.021</v>
      </c>
      <c r="M27" s="5">
        <v>0.021</v>
      </c>
      <c r="N27" s="5">
        <v>0.021</v>
      </c>
      <c r="O27" s="5">
        <v>0.021</v>
      </c>
      <c r="P27" s="5">
        <v>0.021</v>
      </c>
      <c r="Q27" s="5">
        <f>+O27+M27+K27+I27+G27+E27+C27-0.001</f>
        <v>0.092</v>
      </c>
      <c r="R27" s="5">
        <f>+P27+N27+L27+J27+H27+F27+D27-0.001</f>
        <v>0.092</v>
      </c>
    </row>
    <row r="28" spans="1:18" ht="52.5">
      <c r="A28" s="15" t="s">
        <v>37</v>
      </c>
      <c r="B28" s="13" t="s">
        <v>36</v>
      </c>
      <c r="C28" s="5">
        <f>SUM(C29:C30)</f>
        <v>0</v>
      </c>
      <c r="D28" s="5">
        <f aca="true" t="shared" si="2" ref="D28:P28">SUM(D29:D30)</f>
        <v>0</v>
      </c>
      <c r="E28" s="5">
        <f t="shared" si="2"/>
        <v>0.534</v>
      </c>
      <c r="F28" s="5">
        <f t="shared" si="2"/>
        <v>0.534</v>
      </c>
      <c r="G28" s="5">
        <f t="shared" si="2"/>
        <v>0.455</v>
      </c>
      <c r="H28" s="5">
        <f t="shared" si="2"/>
        <v>0.455</v>
      </c>
      <c r="I28" s="5">
        <f t="shared" si="2"/>
        <v>0.46</v>
      </c>
      <c r="J28" s="5">
        <f t="shared" si="2"/>
        <v>0.46</v>
      </c>
      <c r="K28" s="5">
        <f t="shared" si="2"/>
        <v>0.503</v>
      </c>
      <c r="L28" s="5">
        <f t="shared" si="2"/>
        <v>0.503</v>
      </c>
      <c r="M28" s="5">
        <f t="shared" si="2"/>
        <v>0.608</v>
      </c>
      <c r="N28" s="5">
        <f t="shared" si="2"/>
        <v>0.608</v>
      </c>
      <c r="O28" s="5">
        <f t="shared" si="2"/>
        <v>0.644</v>
      </c>
      <c r="P28" s="5">
        <f t="shared" si="2"/>
        <v>0.644</v>
      </c>
      <c r="Q28" s="5">
        <f>+O28+M28+K28+I28+G28+E28+C28-0.002</f>
        <v>3.202</v>
      </c>
      <c r="R28" s="5">
        <f>+P28+N28+L28+J28+H28+F28+D28-0.002</f>
        <v>3.202</v>
      </c>
    </row>
    <row r="29" spans="1:18" ht="45">
      <c r="A29" s="15" t="s">
        <v>10</v>
      </c>
      <c r="B29" s="25" t="s">
        <v>39</v>
      </c>
      <c r="C29" s="5">
        <v>0</v>
      </c>
      <c r="D29" s="5">
        <v>0</v>
      </c>
      <c r="E29" s="5">
        <v>0.534</v>
      </c>
      <c r="F29" s="5">
        <v>0.534</v>
      </c>
      <c r="G29" s="5">
        <v>0.455</v>
      </c>
      <c r="H29" s="5">
        <v>0.455</v>
      </c>
      <c r="I29" s="5">
        <v>0.46</v>
      </c>
      <c r="J29" s="5">
        <v>0.46</v>
      </c>
      <c r="K29" s="5">
        <v>0.503</v>
      </c>
      <c r="L29" s="5">
        <v>0.503</v>
      </c>
      <c r="M29" s="5">
        <v>0.608</v>
      </c>
      <c r="N29" s="5">
        <v>0.608</v>
      </c>
      <c r="O29" s="5">
        <v>0.644</v>
      </c>
      <c r="P29" s="5">
        <v>0.644</v>
      </c>
      <c r="Q29" s="5">
        <f>+O29+M29+K29+I29+G29+E29+C29-0.002</f>
        <v>3.202</v>
      </c>
      <c r="R29" s="5">
        <f>+P29+N29+L29+J29+H29+F29+D29-0.002</f>
        <v>3.202</v>
      </c>
    </row>
    <row r="30" spans="1:18" ht="22.5">
      <c r="A30" s="15" t="s">
        <v>11</v>
      </c>
      <c r="B30" s="25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7" customFormat="1" ht="12.75">
      <c r="A31" s="12"/>
      <c r="B31" s="32" t="s">
        <v>4</v>
      </c>
      <c r="C31" s="6">
        <f aca="true" t="shared" si="3" ref="C31:H31">+C28+C27+C26+C25+C24+C23+C22+C21+C20+C19+C18+C17+C16+C13+C10+C9+C8+C7+C6</f>
        <v>1</v>
      </c>
      <c r="D31" s="6">
        <f t="shared" si="3"/>
        <v>1</v>
      </c>
      <c r="E31" s="6">
        <f t="shared" si="3"/>
        <v>7.388000000000001</v>
      </c>
      <c r="F31" s="6">
        <f t="shared" si="3"/>
        <v>7.388000000000001</v>
      </c>
      <c r="G31" s="6">
        <f t="shared" si="3"/>
        <v>7.783</v>
      </c>
      <c r="H31" s="6">
        <f t="shared" si="3"/>
        <v>7.783</v>
      </c>
      <c r="I31" s="6">
        <f>+I28+I27+I26+I25+I24+I23+I22+I21+I20+I19+I18+I17+I16+I13+I10+I9+I8+I7+I6+0.001</f>
        <v>6.978</v>
      </c>
      <c r="J31" s="6">
        <f>+J28+J27+J26+J25+J24+J23+J22+J21+J20+J19+J18+J17+J16+J13+J10+J9+J8+J7+J6+0.001</f>
        <v>6.978</v>
      </c>
      <c r="K31" s="6">
        <f aca="true" t="shared" si="4" ref="K31:R31">+K28+K27+K26+K25+K24+K23+K22+K21+K20+K19+K18+K17+K16+K13+K10+K9+K8+K7+K6</f>
        <v>7.02</v>
      </c>
      <c r="L31" s="6">
        <f t="shared" si="4"/>
        <v>7.02</v>
      </c>
      <c r="M31" s="6">
        <f t="shared" si="4"/>
        <v>6.890999999999999</v>
      </c>
      <c r="N31" s="6">
        <f t="shared" si="4"/>
        <v>6.890999999999999</v>
      </c>
      <c r="O31" s="6">
        <f t="shared" si="4"/>
        <v>6.971</v>
      </c>
      <c r="P31" s="6">
        <f t="shared" si="4"/>
        <v>6.971</v>
      </c>
      <c r="Q31" s="6">
        <f t="shared" si="4"/>
        <v>44.031</v>
      </c>
      <c r="R31" s="6">
        <f t="shared" si="4"/>
        <v>44.031</v>
      </c>
    </row>
    <row r="32" spans="2:18" ht="12.75"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4" ht="12.75">
      <c r="B34" s="10"/>
    </row>
  </sheetData>
  <mergeCells count="16">
    <mergeCell ref="K4:L4"/>
    <mergeCell ref="M4:N4"/>
    <mergeCell ref="O4:P4"/>
    <mergeCell ref="Q4:R4"/>
    <mergeCell ref="C4:D4"/>
    <mergeCell ref="E4:F4"/>
    <mergeCell ref="G4:H4"/>
    <mergeCell ref="I4:J4"/>
    <mergeCell ref="K3:L3"/>
    <mergeCell ref="M3:N3"/>
    <mergeCell ref="O3:P3"/>
    <mergeCell ref="Q3:R3"/>
    <mergeCell ref="C3:D3"/>
    <mergeCell ref="E3:F3"/>
    <mergeCell ref="G3:H3"/>
    <mergeCell ref="I3:J3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Footer>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2001-05-16T06:57:05Z</cp:lastPrinted>
  <dcterms:created xsi:type="dcterms:W3CDTF">2000-05-19T08:01:38Z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