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480" activeTab="0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5) nuova Ver.445 privat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<sst xmlns="http://schemas.openxmlformats.org/spreadsheetml/2006/main" count="431" uniqueCount="81">
  <si>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</si>
  <si>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</si>
  <si>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</si>
  <si>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</si>
  <si>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</si>
  <si>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</si>
  <si>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</si>
  <si>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</si>
  <si>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</si>
  <si>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</si>
  <si>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</si>
  <si>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</si>
  <si>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</si>
  <si>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</si>
  <si>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</si>
  <si>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</si>
  <si>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</si>
  <si>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</si>
  <si>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</si>
  <si>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</si>
  <si>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</si>
  <si>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</si>
  <si>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</si>
  <si>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</si>
  <si>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</si>
  <si>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</si>
  <si>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</si>
  <si>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</si>
  <si>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</si>
  <si>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</si>
  <si>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</si>
  <si>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</si>
  <si>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</si>
  <si>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</si>
  <si>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</si>
  <si>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</si>
  <si>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</si>
  <si>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</si>
  <si>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</si>
  <si>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</si>
  <si>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</si>
  <si>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</si>
  <si>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</si>
  <si>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</si>
  <si>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</si>
  <si>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</si>
  <si>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</si>
  <si>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</si>
  <si>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</si>
  <si>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</si>
  <si>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</si>
  <si>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</si>
  <si>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</si>
  <si>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</si>
  <si>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</si>
  <si>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</si>
  <si>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</si>
  <si>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</si>
  <si>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</si>
  <si>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</si>
  <si>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</si>
  <si>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</si>
  <si>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</si>
  <si>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</si>
  <si>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</si>
  <si>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</si>
  <si>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</si>
  <si>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</si>
  <si>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</si>
  <si>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</si>
  <si>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</si>
  <si>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</si>
  <si>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Spese totali realizzate</t>
  </si>
  <si>
    <t>Sottoutilizzazione</t>
  </si>
  <si>
    <t>Sovrautilizzazione</t>
  </si>
  <si>
    <t>Totale piano</t>
  </si>
  <si>
    <t>di cui Reg. 2079/92</t>
  </si>
  <si>
    <t>di cui Reg. 2080/92</t>
  </si>
  <si>
    <t>di cui Reg. 2078 in corso</t>
  </si>
  <si>
    <t>817/2004</t>
  </si>
  <si>
    <t>spesa pubblica totale, contributo UE e quota privati per anno e per misura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</si>
</sst>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_-;\-* #,##0.0_-;_-* &quot;-&quot;??_-;_-@_-"/>
    <numFmt numFmtId="213" formatCode="_-* #,##0.000000_-;\-* #,##0.000000_-;_-* &quot;-&quot;??_-;_-@_-"/>
    <numFmt numFmtId="214" formatCode="_-* #,##0.00000_-;\-* #,##0.00000_-;_-* &quot;-&quot;?????_-;_-@_-"/>
    <numFmt numFmtId="215" formatCode="_-* #,##0.0000000_-;\-* #,##0.0000000_-;_-* &quot;-&quot;??_-;_-@_-"/>
    <numFmt numFmtId="216" formatCode="_-* #,##0.00000000_-;\-* #,##0.00000000_-;_-* &quot;-&quot;??_-;_-@_-"/>
    <numFmt numFmtId="217" formatCode="_-[$€]\ * #,##0.00_-;\-[$€]\ * #,##0.00_-;_-[$€]\ * &quot;-&quot;??_-;_-@_-"/>
    <numFmt numFmtId="218" formatCode="_-* #,##0.000000_-;\-* #,##0.000000_-;_-* &quot;-&quot;?????_-;_-@_-"/>
    <numFmt numFmtId="219" formatCode="_-* #,##0.0000000_-;\-* #,##0.0000000_-;_-* &quot;-&quot;?????_-;_-@_-"/>
    <numFmt numFmtId="220" formatCode="_-* #,##0.00000000_-;\-* #,##0.00000000_-;_-* &quot;-&quot;?????_-;_-@_-"/>
    <numFmt numFmtId="221" formatCode="_-* #,##0.000000000_-;\-* #,##0.000000000_-;_-* &quot;-&quot;?????_-;_-@_-"/>
    <numFmt numFmtId="222" formatCode="_-* #,##0.0000000000_-;\-* #,##0.0000000000_-;_-* &quot;-&quot;?????_-;_-@_-"/>
    <numFmt numFmtId="223" formatCode="_-* #,##0.00000000000_-;\-* #,##0.00000000000_-;_-* &quot;-&quot;?????_-;_-@_-"/>
  </numFmts>
  <fonts count="14">
    <font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9"/>
      <color indexed="13"/>
      <name val="Arial"/>
      <family val="2"/>
    </font>
    <font>
      <sz val="9"/>
      <color indexed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7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87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43" fontId="5" fillId="0" borderId="0" xfId="15" applyFont="1" applyAlignment="1">
      <alignment/>
    </xf>
    <xf numFmtId="190" fontId="1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190" fontId="5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187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0" fontId="8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7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213" fontId="1" fillId="0" borderId="0" xfId="15" applyNumberFormat="1" applyFont="1" applyFill="1" applyAlignment="1">
      <alignment/>
    </xf>
    <xf numFmtId="190" fontId="5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3" fontId="1" fillId="0" borderId="0" xfId="15" applyFont="1" applyAlignment="1">
      <alignment/>
    </xf>
    <xf numFmtId="211" fontId="1" fillId="0" borderId="0" xfId="15" applyNumberFormat="1" applyFont="1" applyFill="1" applyAlignment="1">
      <alignment/>
    </xf>
    <xf numFmtId="214" fontId="1" fillId="0" borderId="0" xfId="0" applyNumberFormat="1" applyFont="1" applyAlignment="1">
      <alignment/>
    </xf>
    <xf numFmtId="190" fontId="1" fillId="0" borderId="0" xfId="15" applyNumberFormat="1" applyFont="1" applyAlignment="1">
      <alignment/>
    </xf>
    <xf numFmtId="190" fontId="1" fillId="0" borderId="0" xfId="15" applyNumberFormat="1" applyFont="1" applyFill="1" applyAlignment="1">
      <alignment/>
    </xf>
    <xf numFmtId="187" fontId="5" fillId="0" borderId="0" xfId="0" applyNumberFormat="1" applyFont="1" applyFill="1" applyBorder="1" applyAlignment="1">
      <alignment/>
    </xf>
    <xf numFmtId="213" fontId="1" fillId="0" borderId="0" xfId="0" applyNumberFormat="1" applyFont="1" applyAlignment="1">
      <alignment/>
    </xf>
    <xf numFmtId="213" fontId="1" fillId="0" borderId="0" xfId="0" applyNumberFormat="1" applyFont="1" applyFill="1" applyAlignment="1">
      <alignment/>
    </xf>
    <xf numFmtId="190" fontId="5" fillId="0" borderId="0" xfId="0" applyNumberFormat="1" applyFont="1" applyFill="1" applyBorder="1" applyAlignment="1">
      <alignment/>
    </xf>
    <xf numFmtId="210" fontId="1" fillId="0" borderId="0" xfId="15" applyNumberFormat="1" applyFont="1" applyAlignment="1">
      <alignment/>
    </xf>
    <xf numFmtId="191" fontId="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87" fontId="9" fillId="3" borderId="3" xfId="0" applyNumberFormat="1" applyFont="1" applyFill="1" applyBorder="1" applyAlignment="1">
      <alignment/>
    </xf>
    <xf numFmtId="0" fontId="9" fillId="3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justify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87" fontId="12" fillId="3" borderId="16" xfId="0" applyNumberFormat="1" applyFont="1" applyFill="1" applyBorder="1" applyAlignment="1">
      <alignment horizontal="justify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187" fontId="5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5" fillId="2" borderId="9" xfId="0" applyNumberFormat="1" applyFont="1" applyFill="1" applyBorder="1" applyAlignment="1">
      <alignment/>
    </xf>
    <xf numFmtId="187" fontId="5" fillId="2" borderId="6" xfId="0" applyNumberFormat="1" applyFont="1" applyFill="1" applyBorder="1" applyAlignment="1">
      <alignment/>
    </xf>
    <xf numFmtId="187" fontId="1" fillId="0" borderId="22" xfId="0" applyNumberFormat="1" applyFont="1" applyFill="1" applyBorder="1" applyAlignment="1">
      <alignment/>
    </xf>
    <xf numFmtId="187" fontId="5" fillId="2" borderId="22" xfId="0" applyNumberFormat="1" applyFont="1" applyFill="1" applyBorder="1" applyAlignment="1">
      <alignment/>
    </xf>
    <xf numFmtId="187" fontId="5" fillId="2" borderId="2" xfId="0" applyNumberFormat="1" applyFont="1" applyFill="1" applyBorder="1" applyAlignment="1">
      <alignment/>
    </xf>
    <xf numFmtId="187" fontId="5" fillId="2" borderId="1" xfId="15" applyNumberFormat="1" applyFont="1" applyFill="1" applyBorder="1" applyAlignment="1">
      <alignment/>
    </xf>
    <xf numFmtId="187" fontId="8" fillId="2" borderId="23" xfId="0" applyNumberFormat="1" applyFont="1" applyFill="1" applyBorder="1" applyAlignment="1">
      <alignment/>
    </xf>
    <xf numFmtId="187" fontId="8" fillId="2" borderId="1" xfId="0" applyNumberFormat="1" applyFont="1" applyFill="1" applyBorder="1" applyAlignment="1">
      <alignment/>
    </xf>
    <xf numFmtId="187" fontId="8" fillId="2" borderId="17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17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7" fillId="2" borderId="24" xfId="0" applyNumberFormat="1" applyFont="1" applyFill="1" applyBorder="1" applyAlignment="1">
      <alignment/>
    </xf>
    <xf numFmtId="187" fontId="7" fillId="2" borderId="19" xfId="0" applyNumberFormat="1" applyFont="1" applyFill="1" applyBorder="1" applyAlignment="1">
      <alignment/>
    </xf>
    <xf numFmtId="187" fontId="7" fillId="2" borderId="25" xfId="0" applyNumberFormat="1" applyFont="1" applyFill="1" applyBorder="1" applyAlignment="1">
      <alignment/>
    </xf>
    <xf numFmtId="187" fontId="8" fillId="2" borderId="24" xfId="0" applyNumberFormat="1" applyFont="1" applyFill="1" applyBorder="1" applyAlignment="1">
      <alignment/>
    </xf>
    <xf numFmtId="187" fontId="8" fillId="2" borderId="19" xfId="0" applyNumberFormat="1" applyFont="1" applyFill="1" applyBorder="1" applyAlignment="1">
      <alignment/>
    </xf>
    <xf numFmtId="187" fontId="8" fillId="2" borderId="25" xfId="0" applyNumberFormat="1" applyFont="1" applyFill="1" applyBorder="1" applyAlignment="1">
      <alignment/>
    </xf>
    <xf numFmtId="187" fontId="7" fillId="0" borderId="24" xfId="0" applyNumberFormat="1" applyFont="1" applyFill="1" applyBorder="1" applyAlignment="1">
      <alignment/>
    </xf>
    <xf numFmtId="187" fontId="7" fillId="0" borderId="19" xfId="0" applyNumberFormat="1" applyFont="1" applyFill="1" applyBorder="1" applyAlignment="1">
      <alignment/>
    </xf>
    <xf numFmtId="187" fontId="7" fillId="0" borderId="25" xfId="0" applyNumberFormat="1" applyFont="1" applyFill="1" applyBorder="1" applyAlignment="1">
      <alignment/>
    </xf>
    <xf numFmtId="187" fontId="7" fillId="2" borderId="26" xfId="0" applyNumberFormat="1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CC2B0"/>
      <rgbColor rgb="00FFFFCC"/>
      <rgbColor rgb="00CCFFFF"/>
      <rgbColor rgb="008CA8AE"/>
      <rgbColor rgb="00FF8080"/>
      <rgbColor rgb="000066CC"/>
      <rgbColor rgb="00E69340"/>
      <rgbColor rgb="006767FF"/>
      <rgbColor rgb="00FF00FF"/>
      <rgbColor rgb="00FFFF00"/>
      <rgbColor rgb="0000C5C0"/>
      <rgbColor rgb="00800080"/>
      <rgbColor rgb="00F8720E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8DA8B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9AE2E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PSR%202000-2006\08e%20bilancio%202004\03%20modifica%20finale\007-5%20%20piano%202004%20consuntivo%20agea%20-%20con%20previsioni%2025-10-2004%20-%20e%20spostamento%2012,5%+forest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 costi totali + UE"/>
      <sheetName val="2) spesa pubblica totale +UE"/>
      <sheetName val="3) costi totali +Bolzano"/>
      <sheetName val="4) costi totali +Stato"/>
      <sheetName val="5) nuova Ver.445 privati"/>
    </sheetNames>
    <sheetDataSet>
      <sheetData sheetId="0">
        <row r="21">
          <cell r="S21">
            <v>0.37499988999999995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32"/>
    <pageSetUpPr fitToPage="1"/>
  </sheetPr>
  <dimension ref="A1:W56"/>
  <sheetViews>
    <sheetView showGridLines="0" showZeros="0" tabSelected="1" workbookViewId="0" topLeftCell="A5">
      <pane xSplit="3" ySplit="3" topLeftCell="K26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7" sqref="M37"/>
    </sheetView>
  </sheetViews>
  <sheetFormatPr defaultColWidth="9.140625" defaultRowHeight="12"/>
  <cols>
    <col min="1" max="1" width="7.8515625" style="2" customWidth="1"/>
    <col min="2" max="2" width="8.57421875" style="2" bestFit="1" customWidth="1"/>
    <col min="3" max="3" width="30.00390625" style="1" customWidth="1"/>
    <col min="4" max="4" width="11.8515625" style="11" bestFit="1" customWidth="1"/>
    <col min="5" max="5" width="10.7109375" style="11" bestFit="1" customWidth="1"/>
    <col min="6" max="6" width="11.8515625" style="4" bestFit="1" customWidth="1"/>
    <col min="7" max="7" width="10.7109375" style="9" bestFit="1" customWidth="1"/>
    <col min="8" max="8" width="11.8515625" style="4" bestFit="1" customWidth="1"/>
    <col min="9" max="9" width="10.7109375" style="4" bestFit="1" customWidth="1"/>
    <col min="10" max="10" width="11.8515625" style="4" bestFit="1" customWidth="1"/>
    <col min="11" max="11" width="10.7109375" style="4" bestFit="1" customWidth="1"/>
    <col min="12" max="13" width="11.7109375" style="16" customWidth="1"/>
    <col min="14" max="19" width="11.7109375" style="4" customWidth="1"/>
    <col min="20" max="20" width="10.7109375" style="1" bestFit="1" customWidth="1"/>
    <col min="21" max="21" width="10.140625" style="1" bestFit="1" customWidth="1"/>
    <col min="22" max="22" width="10.7109375" style="1" bestFit="1" customWidth="1"/>
    <col min="23" max="23" width="10.00390625" style="1" bestFit="1" customWidth="1"/>
    <col min="24" max="16384" width="9.140625" style="1" customWidth="1"/>
  </cols>
  <sheetData>
    <row r="1" spans="1:2" ht="12.75">
      <c r="A1" s="38" t="s">
        <v>44</v>
      </c>
      <c r="B1" s="22"/>
    </row>
    <row r="2" spans="1:2" ht="12.75">
      <c r="A2" s="22"/>
      <c r="B2" s="22"/>
    </row>
    <row r="3" spans="1:2" ht="12.75">
      <c r="A3" s="37" t="s">
        <v>45</v>
      </c>
      <c r="B3" s="30"/>
    </row>
    <row r="5" spans="1:19" s="2" customFormat="1" ht="12.75">
      <c r="A5" s="90"/>
      <c r="B5" s="90"/>
      <c r="C5" s="91"/>
      <c r="D5" s="162" t="s">
        <v>6</v>
      </c>
      <c r="E5" s="162"/>
      <c r="F5" s="161" t="s">
        <v>6</v>
      </c>
      <c r="G5" s="162"/>
      <c r="H5" s="161" t="s">
        <v>6</v>
      </c>
      <c r="I5" s="162"/>
      <c r="J5" s="161" t="s">
        <v>6</v>
      </c>
      <c r="K5" s="162"/>
      <c r="L5" s="161" t="s">
        <v>6</v>
      </c>
      <c r="M5" s="162"/>
      <c r="N5" s="163" t="s">
        <v>6</v>
      </c>
      <c r="O5" s="164"/>
      <c r="P5" s="163" t="s">
        <v>6</v>
      </c>
      <c r="Q5" s="165"/>
      <c r="R5" s="164" t="s">
        <v>1</v>
      </c>
      <c r="S5" s="165"/>
    </row>
    <row r="6" spans="1:19" s="2" customFormat="1" ht="12.75">
      <c r="A6" s="92" t="s">
        <v>69</v>
      </c>
      <c r="B6" s="92" t="s">
        <v>71</v>
      </c>
      <c r="C6" s="93" t="s">
        <v>0</v>
      </c>
      <c r="D6" s="155">
        <v>2000</v>
      </c>
      <c r="E6" s="155"/>
      <c r="F6" s="159">
        <v>2001</v>
      </c>
      <c r="G6" s="160"/>
      <c r="H6" s="155">
        <v>2002</v>
      </c>
      <c r="I6" s="155"/>
      <c r="J6" s="159">
        <v>2003</v>
      </c>
      <c r="K6" s="160"/>
      <c r="L6" s="155">
        <v>2004</v>
      </c>
      <c r="M6" s="155"/>
      <c r="N6" s="156">
        <v>2005</v>
      </c>
      <c r="O6" s="157"/>
      <c r="P6" s="156">
        <v>2006</v>
      </c>
      <c r="Q6" s="157"/>
      <c r="R6" s="158"/>
      <c r="S6" s="157"/>
    </row>
    <row r="7" spans="1:19" ht="25.5">
      <c r="A7" s="94" t="s">
        <v>70</v>
      </c>
      <c r="B7" s="94" t="s">
        <v>79</v>
      </c>
      <c r="C7" s="95"/>
      <c r="D7" s="13" t="s">
        <v>2</v>
      </c>
      <c r="E7" s="13" t="s">
        <v>3</v>
      </c>
      <c r="F7" s="13" t="s">
        <v>2</v>
      </c>
      <c r="G7" s="13" t="s">
        <v>3</v>
      </c>
      <c r="H7" s="13" t="s">
        <v>2</v>
      </c>
      <c r="I7" s="13" t="s">
        <v>3</v>
      </c>
      <c r="J7" s="13" t="s">
        <v>2</v>
      </c>
      <c r="K7" s="13" t="s">
        <v>3</v>
      </c>
      <c r="L7" s="13" t="s">
        <v>2</v>
      </c>
      <c r="M7" s="13" t="s">
        <v>3</v>
      </c>
      <c r="N7" s="96" t="s">
        <v>2</v>
      </c>
      <c r="O7" s="96" t="s">
        <v>3</v>
      </c>
      <c r="P7" s="96" t="s">
        <v>2</v>
      </c>
      <c r="Q7" s="96" t="s">
        <v>3</v>
      </c>
      <c r="R7" s="96" t="s">
        <v>2</v>
      </c>
      <c r="S7" s="96" t="s">
        <v>3</v>
      </c>
    </row>
    <row r="8" spans="1:23" s="4" customFormat="1" ht="22.5">
      <c r="A8" s="97">
        <v>1</v>
      </c>
      <c r="B8" s="97" t="s">
        <v>52</v>
      </c>
      <c r="C8" s="6" t="s">
        <v>14</v>
      </c>
      <c r="D8" s="128">
        <f>+E8</f>
        <v>0.117857</v>
      </c>
      <c r="E8" s="128">
        <v>0.117857</v>
      </c>
      <c r="F8" s="128">
        <f>4.366-0.057</f>
        <v>4.308999999999999</v>
      </c>
      <c r="G8" s="128">
        <f>0.67791819</f>
        <v>0.67791819</v>
      </c>
      <c r="H8" s="128">
        <v>5.923</v>
      </c>
      <c r="I8" s="128">
        <v>0.92331716</v>
      </c>
      <c r="J8" s="128">
        <v>9.82793762</v>
      </c>
      <c r="K8" s="128">
        <v>1.407853</v>
      </c>
      <c r="L8" s="128">
        <v>8.905</v>
      </c>
      <c r="M8" s="128">
        <v>1.335565</v>
      </c>
      <c r="N8" s="129">
        <v>7.5</v>
      </c>
      <c r="O8" s="129">
        <f>+N8*0.15</f>
        <v>1.125</v>
      </c>
      <c r="P8" s="129">
        <f>0.66884+2.480272-1.112358-1.166573+0.747358</f>
        <v>1.6175389999999996</v>
      </c>
      <c r="Q8" s="129">
        <f>0.372041-0.166854-0.174986+0.112289</f>
        <v>0.14249</v>
      </c>
      <c r="R8" s="130">
        <f>+P8+N8+L8+J8+H8+F8+D8</f>
        <v>38.200333619999995</v>
      </c>
      <c r="S8" s="130">
        <f aca="true" t="shared" si="0" ref="R8:S11">+Q8+O8+M8+K8+I8+G8+E8</f>
        <v>5.730000349999999</v>
      </c>
      <c r="T8" s="44"/>
      <c r="U8" s="44"/>
      <c r="V8" s="70"/>
      <c r="W8" s="77"/>
    </row>
    <row r="9" spans="1:23" ht="22.5">
      <c r="A9" s="97">
        <v>2</v>
      </c>
      <c r="B9" s="97" t="s">
        <v>53</v>
      </c>
      <c r="C9" s="6" t="s">
        <v>15</v>
      </c>
      <c r="D9" s="128">
        <f>+E9</f>
        <v>0.03125</v>
      </c>
      <c r="E9" s="128">
        <v>0.03125</v>
      </c>
      <c r="F9" s="128">
        <v>0.575</v>
      </c>
      <c r="G9" s="128">
        <v>0.28749995</v>
      </c>
      <c r="H9" s="128">
        <v>1.4975</v>
      </c>
      <c r="I9" s="128">
        <v>0.74875</v>
      </c>
      <c r="J9" s="128">
        <v>1.1025</v>
      </c>
      <c r="K9" s="128">
        <f>+J9/2</f>
        <v>0.55125</v>
      </c>
      <c r="L9" s="128">
        <v>1.414</v>
      </c>
      <c r="M9" s="128">
        <v>0.707</v>
      </c>
      <c r="N9" s="129">
        <v>0</v>
      </c>
      <c r="O9" s="129">
        <f>+N9*0.5</f>
        <v>0</v>
      </c>
      <c r="P9" s="129">
        <f>0.00075+1.231</f>
        <v>1.2317500000000001</v>
      </c>
      <c r="Q9" s="129">
        <f>+P9*0.5-0.015625</f>
        <v>0.6002500000000001</v>
      </c>
      <c r="R9" s="130">
        <f>+P9+N9+L9+J9+H9+F9+D9</f>
        <v>5.852</v>
      </c>
      <c r="S9" s="130">
        <f>+Q9+O9+M9+K9+I9+G9+E9</f>
        <v>2.92599995</v>
      </c>
      <c r="T9" s="44"/>
      <c r="U9" s="79"/>
      <c r="V9" s="85"/>
      <c r="W9" s="76"/>
    </row>
    <row r="10" spans="1:23" ht="12.75">
      <c r="A10" s="97">
        <v>3</v>
      </c>
      <c r="B10" s="97" t="s">
        <v>54</v>
      </c>
      <c r="C10" s="6" t="s">
        <v>16</v>
      </c>
      <c r="D10" s="128">
        <f>+E10</f>
        <v>0.006696</v>
      </c>
      <c r="E10" s="128">
        <v>0.006696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9">
        <v>0</v>
      </c>
      <c r="O10" s="129">
        <v>0</v>
      </c>
      <c r="P10" s="129">
        <v>-0.006696</v>
      </c>
      <c r="Q10" s="129">
        <v>-0.006696</v>
      </c>
      <c r="R10" s="130">
        <f t="shared" si="0"/>
        <v>0</v>
      </c>
      <c r="S10" s="130">
        <f t="shared" si="0"/>
        <v>0</v>
      </c>
      <c r="T10" s="48"/>
      <c r="U10" s="48"/>
      <c r="V10" s="82"/>
      <c r="W10" s="78"/>
    </row>
    <row r="11" spans="1:22" ht="12.75">
      <c r="A11" s="97">
        <v>4</v>
      </c>
      <c r="B11" s="97" t="s">
        <v>55</v>
      </c>
      <c r="C11" s="6" t="s">
        <v>17</v>
      </c>
      <c r="D11" s="128">
        <f>+E11</f>
        <v>0.001786</v>
      </c>
      <c r="E11" s="128">
        <v>0.001786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9">
        <v>0</v>
      </c>
      <c r="O11" s="129">
        <v>0</v>
      </c>
      <c r="P11" s="129">
        <v>-0.001786</v>
      </c>
      <c r="Q11" s="129">
        <v>-0.001786</v>
      </c>
      <c r="R11" s="130">
        <f t="shared" si="0"/>
        <v>0</v>
      </c>
      <c r="S11" s="130">
        <f t="shared" si="0"/>
        <v>0</v>
      </c>
      <c r="T11" s="48"/>
      <c r="U11" s="48"/>
      <c r="V11" s="82"/>
    </row>
    <row r="12" spans="1:22" s="4" customFormat="1" ht="45">
      <c r="A12" s="97" t="s">
        <v>21</v>
      </c>
      <c r="B12" s="97" t="s">
        <v>68</v>
      </c>
      <c r="C12" s="6" t="s">
        <v>39</v>
      </c>
      <c r="D12" s="128">
        <f>SUM(D13:D14)</f>
        <v>0.040179</v>
      </c>
      <c r="E12" s="128">
        <f>SUM(E13:E14)</f>
        <v>0.040179</v>
      </c>
      <c r="F12" s="128">
        <f>SUM(F13:F14)</f>
        <v>1.778</v>
      </c>
      <c r="G12" s="128">
        <f>SUM(G13:G14)</f>
        <v>0.25765665</v>
      </c>
      <c r="H12" s="128">
        <f aca="true" t="shared" si="1" ref="H12:Q12">SUM(H13:H14)</f>
        <v>1.16</v>
      </c>
      <c r="I12" s="128">
        <f t="shared" si="1"/>
        <v>0.18319147</v>
      </c>
      <c r="J12" s="128">
        <f t="shared" si="1"/>
        <v>3.0675499</v>
      </c>
      <c r="K12" s="128">
        <f t="shared" si="1"/>
        <v>0.5099974899999999</v>
      </c>
      <c r="L12" s="128">
        <f t="shared" si="1"/>
        <v>3.153</v>
      </c>
      <c r="M12" s="128">
        <f t="shared" si="1"/>
        <v>0.5630000000000001</v>
      </c>
      <c r="N12" s="129">
        <f t="shared" si="1"/>
        <v>6.95258</v>
      </c>
      <c r="O12" s="129">
        <f t="shared" si="1"/>
        <v>1.112933</v>
      </c>
      <c r="P12" s="129">
        <f t="shared" si="1"/>
        <v>2.6083569999999994</v>
      </c>
      <c r="Q12" s="129">
        <f t="shared" si="1"/>
        <v>0.34704000000000007</v>
      </c>
      <c r="R12" s="130">
        <f>SUM(P12+N12+L12+J12+H12+F12+D12)</f>
        <v>18.759665899999995</v>
      </c>
      <c r="S12" s="130">
        <f>SUM(Q12+O12+M12+K12+I12+G12+E12)</f>
        <v>3.01399761</v>
      </c>
      <c r="T12" s="44"/>
      <c r="U12" s="44"/>
      <c r="V12" s="83"/>
    </row>
    <row r="13" spans="1:22" s="4" customFormat="1" ht="12.75">
      <c r="A13" s="97" t="s">
        <v>22</v>
      </c>
      <c r="B13" s="97"/>
      <c r="C13" s="6" t="s">
        <v>24</v>
      </c>
      <c r="D13" s="128">
        <f>+E13</f>
        <v>0.040179</v>
      </c>
      <c r="E13" s="128">
        <v>0.040179</v>
      </c>
      <c r="F13" s="128">
        <v>1.778</v>
      </c>
      <c r="G13" s="128">
        <v>0.25765665</v>
      </c>
      <c r="H13" s="128">
        <v>1.115</v>
      </c>
      <c r="I13" s="128">
        <f>0.172+0.00019147</f>
        <v>0.17219146999999999</v>
      </c>
      <c r="J13" s="128">
        <v>2.71051034</v>
      </c>
      <c r="K13" s="128">
        <v>0.4207376</v>
      </c>
      <c r="L13" s="128">
        <v>2.253</v>
      </c>
      <c r="M13" s="128">
        <v>0.338</v>
      </c>
      <c r="N13" s="129">
        <f>5.5+0.75462</f>
        <v>6.25462</v>
      </c>
      <c r="O13" s="129">
        <f>+N13*0.15</f>
        <v>0.9381929999999999</v>
      </c>
      <c r="P13" s="129">
        <f>4.015977+0.097611+0.089096-0.653-0.186707-0.75462</f>
        <v>2.6083569999999994</v>
      </c>
      <c r="Q13" s="129">
        <f>0.558183+0.014692+0.013364-0.09795-0.028056-0.113193</f>
        <v>0.34704000000000007</v>
      </c>
      <c r="R13" s="130">
        <f>SUM(P13+N13+L13+J13+H13+F13+D13)</f>
        <v>16.75966634</v>
      </c>
      <c r="S13" s="130">
        <f>SUM(Q13+O13+M13+K13+I13+G13+E13)</f>
        <v>2.5139977200000003</v>
      </c>
      <c r="T13" s="44"/>
      <c r="U13" s="44"/>
      <c r="V13" s="83"/>
    </row>
    <row r="14" spans="1:22" s="4" customFormat="1" ht="33.75">
      <c r="A14" s="97" t="s">
        <v>23</v>
      </c>
      <c r="B14" s="98"/>
      <c r="C14" s="6" t="s">
        <v>40</v>
      </c>
      <c r="D14" s="128"/>
      <c r="E14" s="128"/>
      <c r="F14" s="128">
        <v>0</v>
      </c>
      <c r="G14" s="128">
        <v>0</v>
      </c>
      <c r="H14" s="128">
        <v>0.045</v>
      </c>
      <c r="I14" s="128">
        <v>0.011</v>
      </c>
      <c r="J14" s="128">
        <f>+K14/0.25</f>
        <v>0.35703956</v>
      </c>
      <c r="K14" s="128">
        <v>0.08925989</v>
      </c>
      <c r="L14" s="128">
        <v>0.9</v>
      </c>
      <c r="M14" s="128">
        <v>0.225</v>
      </c>
      <c r="N14" s="129">
        <f>0.9+1.6-1.349269-0.452771</f>
        <v>0.6979599999999999</v>
      </c>
      <c r="O14" s="129">
        <f>0.225+0.4-0.337067-0.113193</f>
        <v>0.17474</v>
      </c>
      <c r="P14" s="129">
        <v>0</v>
      </c>
      <c r="Q14" s="129">
        <v>0</v>
      </c>
      <c r="R14" s="130">
        <f>SUM(P14+N14+L14+J14+H14+F14)</f>
        <v>1.99999956</v>
      </c>
      <c r="S14" s="130">
        <f>SUM(Q14+O14+M14+K14+I14+G14)</f>
        <v>0.49999989</v>
      </c>
      <c r="T14" s="44"/>
      <c r="U14" s="44"/>
      <c r="V14" s="83"/>
    </row>
    <row r="15" spans="1:22" ht="45">
      <c r="A15" s="97" t="s">
        <v>11</v>
      </c>
      <c r="B15" s="97" t="s">
        <v>56</v>
      </c>
      <c r="C15" s="6" t="s">
        <v>18</v>
      </c>
      <c r="D15" s="128">
        <f>SUM(D16:D17)</f>
        <v>0.1455</v>
      </c>
      <c r="E15" s="128">
        <f>SUM(E16:E17)</f>
        <v>0.1455</v>
      </c>
      <c r="F15" s="128">
        <f aca="true" t="shared" si="2" ref="F15:Q15">SUM(F16:F17)</f>
        <v>0.125</v>
      </c>
      <c r="G15" s="128">
        <f>SUM(G16:G17)</f>
        <v>0.023</v>
      </c>
      <c r="H15" s="128">
        <f t="shared" si="2"/>
        <v>1.075</v>
      </c>
      <c r="I15" s="128">
        <f t="shared" si="2"/>
        <v>0.16899999999999998</v>
      </c>
      <c r="J15" s="128">
        <f t="shared" si="2"/>
        <v>0.75144128</v>
      </c>
      <c r="K15" s="128">
        <f t="shared" si="2"/>
        <v>0.11834651</v>
      </c>
      <c r="L15" s="128">
        <f t="shared" si="2"/>
        <v>0.8999996666666666</v>
      </c>
      <c r="M15" s="128">
        <f t="shared" si="2"/>
        <v>0.153333</v>
      </c>
      <c r="N15" s="129">
        <f t="shared" si="2"/>
        <v>0.9</v>
      </c>
      <c r="O15" s="129">
        <f t="shared" si="2"/>
        <v>0.153333</v>
      </c>
      <c r="P15" s="129">
        <f t="shared" si="2"/>
        <v>1.173059</v>
      </c>
      <c r="Q15" s="129">
        <f t="shared" si="2"/>
        <v>0.07498800000000004</v>
      </c>
      <c r="R15" s="130">
        <f>SUM(P15+N15+L15+J15+H15+F15+D15)</f>
        <v>5.069999946666667</v>
      </c>
      <c r="S15" s="130">
        <f>SUM(Q15+O15+M15+K15+I15+G15+E15)</f>
        <v>0.83750051</v>
      </c>
      <c r="T15" s="48"/>
      <c r="U15" s="48"/>
      <c r="V15" s="82"/>
    </row>
    <row r="16" spans="1:22" ht="45">
      <c r="A16" s="97" t="s">
        <v>12</v>
      </c>
      <c r="B16" s="98"/>
      <c r="C16" s="6" t="s">
        <v>19</v>
      </c>
      <c r="D16" s="128">
        <f>+E16</f>
        <v>0.1455</v>
      </c>
      <c r="E16" s="128">
        <v>0.1455</v>
      </c>
      <c r="F16" s="128">
        <v>0.08</v>
      </c>
      <c r="G16" s="128">
        <v>0.012</v>
      </c>
      <c r="H16" s="128">
        <v>1.005</v>
      </c>
      <c r="I16" s="128">
        <v>0.151</v>
      </c>
      <c r="J16" s="128">
        <v>0.697651</v>
      </c>
      <c r="K16" s="128">
        <v>0.10489894</v>
      </c>
      <c r="L16" s="128">
        <f>+M16/0.15</f>
        <v>0.7166666666666667</v>
      </c>
      <c r="M16" s="128">
        <v>0.1075</v>
      </c>
      <c r="N16" s="129">
        <v>0.716667</v>
      </c>
      <c r="O16" s="129">
        <v>0.1075</v>
      </c>
      <c r="P16" s="129">
        <f>1.064666-0.1455+0.019349+0.03-0.032529+0.002529</f>
        <v>0.9385149999999999</v>
      </c>
      <c r="Q16" s="129">
        <f>0.15945-0.1455+0.002651+0.0045-0.004879+0.000379</f>
        <v>0.016601000000000022</v>
      </c>
      <c r="R16" s="130">
        <f>SUM(P16+N16+L16+J16+H16+F16+D16)</f>
        <v>4.299999666666666</v>
      </c>
      <c r="S16" s="130">
        <f>SUM(Q16+O16+M16+K16+I16+G16+E16)</f>
        <v>0.6449999399999999</v>
      </c>
      <c r="T16" s="48"/>
      <c r="U16" s="48"/>
      <c r="V16" s="82"/>
    </row>
    <row r="17" spans="1:22" ht="67.5">
      <c r="A17" s="97" t="s">
        <v>13</v>
      </c>
      <c r="B17" s="98"/>
      <c r="C17" s="6" t="s">
        <v>20</v>
      </c>
      <c r="D17" s="128"/>
      <c r="E17" s="128"/>
      <c r="F17" s="128">
        <v>0.045</v>
      </c>
      <c r="G17" s="128">
        <v>0.011</v>
      </c>
      <c r="H17" s="128">
        <v>0.07</v>
      </c>
      <c r="I17" s="128">
        <v>0.018</v>
      </c>
      <c r="J17" s="128">
        <f>+K17/0.25</f>
        <v>0.05379028</v>
      </c>
      <c r="K17" s="128">
        <v>0.01344757</v>
      </c>
      <c r="L17" s="128">
        <v>0.183333</v>
      </c>
      <c r="M17" s="128">
        <v>0.045833</v>
      </c>
      <c r="N17" s="129">
        <v>0.183333</v>
      </c>
      <c r="O17" s="129">
        <v>0.045833</v>
      </c>
      <c r="P17" s="129">
        <f>0.435334+0.067+0.06221+0.139333-0.047723-0.33-0.09161</f>
        <v>0.2345440000000001</v>
      </c>
      <c r="Q17" s="129">
        <f>0.108584+0.017+0.015552+0.034833-0.011931-0.082749-0.022902</f>
        <v>0.058387000000000015</v>
      </c>
      <c r="R17" s="130">
        <f>SUM(P17+N17+L17+J17+H17+F17)</f>
        <v>0.7700002800000002</v>
      </c>
      <c r="S17" s="130">
        <f>SUM(Q17+O17+M17+K17+I17+G17)</f>
        <v>0.19250056999999998</v>
      </c>
      <c r="T17" s="48"/>
      <c r="U17" s="48"/>
      <c r="V17" s="82"/>
    </row>
    <row r="18" spans="1:22" ht="33.75">
      <c r="A18" s="98"/>
      <c r="B18" s="97" t="s">
        <v>57</v>
      </c>
      <c r="C18" s="6" t="s">
        <v>7</v>
      </c>
      <c r="D18" s="128">
        <f aca="true" t="shared" si="3" ref="D18:D26">+E18</f>
        <v>0.019107</v>
      </c>
      <c r="E18" s="128">
        <v>0.019107</v>
      </c>
      <c r="F18" s="128">
        <f>0.642-0.642</f>
        <v>0</v>
      </c>
      <c r="G18" s="128">
        <f>+F18/2</f>
        <v>0</v>
      </c>
      <c r="H18" s="128">
        <v>0</v>
      </c>
      <c r="I18" s="128">
        <f>+H18*0.5</f>
        <v>0</v>
      </c>
      <c r="J18" s="128">
        <v>0</v>
      </c>
      <c r="K18" s="128">
        <v>0</v>
      </c>
      <c r="L18" s="128">
        <v>0</v>
      </c>
      <c r="M18" s="128">
        <v>0</v>
      </c>
      <c r="N18" s="129">
        <v>0</v>
      </c>
      <c r="O18" s="129">
        <v>0</v>
      </c>
      <c r="P18" s="129">
        <v>-0.019107</v>
      </c>
      <c r="Q18" s="129">
        <v>-0.019107</v>
      </c>
      <c r="R18" s="130">
        <f>+P18+N18+L18+J18+H18+F18+D18</f>
        <v>0</v>
      </c>
      <c r="S18" s="130">
        <f>+Q18+O18+M18+K18+I18+G18+E18</f>
        <v>0</v>
      </c>
      <c r="T18" s="48"/>
      <c r="U18" s="48"/>
      <c r="V18" s="82"/>
    </row>
    <row r="19" spans="1:22" ht="33.75">
      <c r="A19" s="97">
        <v>6</v>
      </c>
      <c r="B19" s="97" t="s">
        <v>62</v>
      </c>
      <c r="C19" s="6" t="s">
        <v>25</v>
      </c>
      <c r="D19" s="128">
        <f t="shared" si="3"/>
        <v>0.160714</v>
      </c>
      <c r="E19" s="128">
        <v>0.160714</v>
      </c>
      <c r="F19" s="128">
        <v>13.91558</v>
      </c>
      <c r="G19" s="128">
        <v>2.08733699</v>
      </c>
      <c r="H19" s="128">
        <v>14.258</v>
      </c>
      <c r="I19" s="128">
        <v>2.13875472</v>
      </c>
      <c r="J19" s="128">
        <f>+K19/0.15</f>
        <v>22.348246666666668</v>
      </c>
      <c r="K19" s="128">
        <v>3.352237</v>
      </c>
      <c r="L19" s="128">
        <v>10.1</v>
      </c>
      <c r="M19" s="128">
        <v>1.515</v>
      </c>
      <c r="N19" s="129">
        <f>7.383793-3.740099</f>
        <v>3.643694</v>
      </c>
      <c r="O19" s="129">
        <f>+N19*0.15-E19+0.024102</f>
        <v>0.4099420999999999</v>
      </c>
      <c r="P19" s="129">
        <f>2.249166+0.036+3.740099</f>
        <v>6.025265</v>
      </c>
      <c r="Q19" s="129">
        <f>0.250199+0.561015</f>
        <v>0.8112140000000001</v>
      </c>
      <c r="R19" s="130">
        <f>+P19+N19+L19+J19+H19+F19+D19</f>
        <v>70.45149966666668</v>
      </c>
      <c r="S19" s="130">
        <f aca="true" t="shared" si="4" ref="S19:S25">+Q19+O19+M19+K19+I19+G19+E19</f>
        <v>10.47519881</v>
      </c>
      <c r="T19" s="48"/>
      <c r="U19" s="48"/>
      <c r="V19" s="82"/>
    </row>
    <row r="20" spans="1:22" ht="33.75">
      <c r="A20" s="97">
        <v>7</v>
      </c>
      <c r="B20" s="97" t="s">
        <v>63</v>
      </c>
      <c r="C20" s="6" t="s">
        <v>26</v>
      </c>
      <c r="D20" s="128">
        <f t="shared" si="3"/>
        <v>0.004464</v>
      </c>
      <c r="E20" s="128">
        <v>0.004464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9">
        <v>0</v>
      </c>
      <c r="O20" s="129">
        <v>0</v>
      </c>
      <c r="P20" s="129">
        <v>-0.004464</v>
      </c>
      <c r="Q20" s="129">
        <v>-0.004464</v>
      </c>
      <c r="R20" s="130">
        <f aca="true" t="shared" si="5" ref="R20:R25">+P20+N20+L20+J20+H20+F20+D20</f>
        <v>0</v>
      </c>
      <c r="S20" s="130">
        <f t="shared" si="4"/>
        <v>0</v>
      </c>
      <c r="T20" s="48"/>
      <c r="U20" s="48"/>
      <c r="V20" s="82"/>
    </row>
    <row r="21" spans="1:22" ht="12.75">
      <c r="A21" s="97">
        <v>8</v>
      </c>
      <c r="B21" s="97" t="s">
        <v>58</v>
      </c>
      <c r="C21" s="6" t="s">
        <v>27</v>
      </c>
      <c r="D21" s="128">
        <f t="shared" si="3"/>
        <v>0.006696</v>
      </c>
      <c r="E21" s="128">
        <v>0.006696</v>
      </c>
      <c r="F21" s="128">
        <v>0.075</v>
      </c>
      <c r="G21" s="128">
        <v>0.03749989</v>
      </c>
      <c r="H21" s="128">
        <v>0.135</v>
      </c>
      <c r="I21" s="128">
        <v>0.0675</v>
      </c>
      <c r="J21" s="128">
        <v>0.135</v>
      </c>
      <c r="K21" s="128">
        <v>0.0675</v>
      </c>
      <c r="L21" s="128">
        <v>0.135</v>
      </c>
      <c r="M21" s="128">
        <v>0.068</v>
      </c>
      <c r="N21" s="129">
        <v>0.1355</v>
      </c>
      <c r="O21" s="129">
        <v>0.068</v>
      </c>
      <c r="P21" s="129">
        <f>0.1345-0.006696</f>
        <v>0.127804</v>
      </c>
      <c r="Q21" s="129">
        <f>0.068-0.002-0.006696+0.0005+0.0005-0.0005</f>
        <v>0.059804</v>
      </c>
      <c r="R21" s="130">
        <f t="shared" si="5"/>
        <v>0.75</v>
      </c>
      <c r="S21" s="130">
        <f t="shared" si="4"/>
        <v>0.37499988999999995</v>
      </c>
      <c r="T21" s="48">
        <f>+S21-'[1]1) costi totali + UE'!$S$21</f>
        <v>0</v>
      </c>
      <c r="U21" s="48"/>
      <c r="V21" s="82"/>
    </row>
    <row r="22" spans="1:22" ht="45">
      <c r="A22" s="97">
        <v>9</v>
      </c>
      <c r="B22" s="97" t="s">
        <v>59</v>
      </c>
      <c r="C22" s="6" t="s">
        <v>28</v>
      </c>
      <c r="D22" s="128">
        <f t="shared" si="3"/>
        <v>0.005357</v>
      </c>
      <c r="E22" s="128">
        <v>0.005357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9">
        <v>0</v>
      </c>
      <c r="O22" s="129">
        <v>0</v>
      </c>
      <c r="P22" s="129">
        <v>-0.005357</v>
      </c>
      <c r="Q22" s="129">
        <v>-0.005357</v>
      </c>
      <c r="R22" s="130">
        <f t="shared" si="5"/>
        <v>0</v>
      </c>
      <c r="S22" s="130">
        <f t="shared" si="4"/>
        <v>0</v>
      </c>
      <c r="T22" s="48"/>
      <c r="U22" s="48"/>
      <c r="V22" s="82"/>
    </row>
    <row r="23" spans="1:22" ht="22.5">
      <c r="A23" s="97">
        <v>10</v>
      </c>
      <c r="B23" s="97" t="s">
        <v>64</v>
      </c>
      <c r="C23" s="6" t="s">
        <v>29</v>
      </c>
      <c r="D23" s="128">
        <f t="shared" si="3"/>
        <v>0.005357</v>
      </c>
      <c r="E23" s="128">
        <v>0.005357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9">
        <v>0</v>
      </c>
      <c r="O23" s="129">
        <v>0</v>
      </c>
      <c r="P23" s="129">
        <v>-0.005357</v>
      </c>
      <c r="Q23" s="129">
        <v>-0.005357</v>
      </c>
      <c r="R23" s="130">
        <f t="shared" si="5"/>
        <v>0</v>
      </c>
      <c r="S23" s="130">
        <f t="shared" si="4"/>
        <v>0</v>
      </c>
      <c r="T23" s="48"/>
      <c r="U23" s="48"/>
      <c r="V23" s="48"/>
    </row>
    <row r="24" spans="1:22" ht="33.75">
      <c r="A24" s="97">
        <v>11</v>
      </c>
      <c r="B24" s="97" t="s">
        <v>65</v>
      </c>
      <c r="C24" s="6" t="s">
        <v>30</v>
      </c>
      <c r="D24" s="128">
        <f t="shared" si="3"/>
        <v>0.064286</v>
      </c>
      <c r="E24" s="128">
        <v>0.064286</v>
      </c>
      <c r="F24" s="128">
        <v>0</v>
      </c>
      <c r="G24" s="128">
        <v>0</v>
      </c>
      <c r="H24" s="128">
        <v>0.998</v>
      </c>
      <c r="I24" s="128">
        <v>0.29529291</v>
      </c>
      <c r="J24" s="128">
        <v>2.30450835</v>
      </c>
      <c r="K24" s="128">
        <v>0.68213447</v>
      </c>
      <c r="L24" s="128">
        <v>2.491</v>
      </c>
      <c r="M24" s="131">
        <v>0.738</v>
      </c>
      <c r="N24" s="129">
        <v>4</v>
      </c>
      <c r="O24" s="129">
        <f>+N24*0.296</f>
        <v>1.184</v>
      </c>
      <c r="P24" s="129">
        <f>3.838-0.064286-0.888+1.756756-0.671637-1.351351-0.011249-0.002243-0.148649-0.088495-0.315649+0.239387</f>
        <v>2.2925840000000006</v>
      </c>
      <c r="Q24" s="129">
        <f>1.137707-0.064286-0.262+0.52-0.198805-0.4-0.003329-0.044-0.026195-0.093+0.070194</f>
        <v>0.636286</v>
      </c>
      <c r="R24" s="130">
        <f t="shared" si="5"/>
        <v>12.150378349999999</v>
      </c>
      <c r="S24" s="130">
        <f t="shared" si="4"/>
        <v>3.5999993800000003</v>
      </c>
      <c r="T24" s="48"/>
      <c r="U24" s="48"/>
      <c r="V24" s="48"/>
    </row>
    <row r="25" spans="1:23" ht="22.5">
      <c r="A25" s="97">
        <v>12</v>
      </c>
      <c r="B25" s="97" t="s">
        <v>66</v>
      </c>
      <c r="C25" s="6" t="s">
        <v>31</v>
      </c>
      <c r="D25" s="128">
        <f t="shared" si="3"/>
        <v>0.108179</v>
      </c>
      <c r="E25" s="128">
        <v>0.108179</v>
      </c>
      <c r="F25" s="128">
        <v>2.76</v>
      </c>
      <c r="G25" s="128">
        <v>0.81642593</v>
      </c>
      <c r="H25" s="128">
        <v>1.791</v>
      </c>
      <c r="I25" s="128">
        <v>0.48753624</v>
      </c>
      <c r="J25" s="128">
        <v>3.333611</v>
      </c>
      <c r="K25" s="128">
        <v>0.9720311</v>
      </c>
      <c r="L25" s="132">
        <v>3.343</v>
      </c>
      <c r="M25" s="128">
        <v>0.779</v>
      </c>
      <c r="N25" s="133">
        <v>6.4</v>
      </c>
      <c r="O25" s="129">
        <f>+N25*0.233</f>
        <v>1.4912</v>
      </c>
      <c r="P25" s="129">
        <f>8.029-0.108179-1.382+1.387419-1.717077-0.5119-0.676718-0.545923+1.188618</f>
        <v>5.66324</v>
      </c>
      <c r="Q25" s="129">
        <f>1.627038-0.108179-0.322+0.127969-0.4-0.4026+0.125729-0.1272+0.276871</f>
        <v>0.7976279999999999</v>
      </c>
      <c r="R25" s="130">
        <f t="shared" si="5"/>
        <v>23.399030000000003</v>
      </c>
      <c r="S25" s="130">
        <f t="shared" si="4"/>
        <v>5.45200027</v>
      </c>
      <c r="T25" s="48"/>
      <c r="U25" s="48"/>
      <c r="V25" s="48"/>
      <c r="W25" s="48"/>
    </row>
    <row r="26" spans="1:22" s="4" customFormat="1" ht="12.75">
      <c r="A26" s="97">
        <v>13</v>
      </c>
      <c r="B26" s="97" t="s">
        <v>60</v>
      </c>
      <c r="C26" s="6" t="s">
        <v>32</v>
      </c>
      <c r="D26" s="134">
        <f t="shared" si="3"/>
        <v>1.12625</v>
      </c>
      <c r="E26" s="128">
        <v>1.12625</v>
      </c>
      <c r="F26" s="128">
        <f>11.3217522</f>
        <v>11.3217522</v>
      </c>
      <c r="G26" s="128">
        <f>5.6608761</f>
        <v>5.6608761</v>
      </c>
      <c r="H26" s="128">
        <v>16.95335428</v>
      </c>
      <c r="I26" s="128">
        <v>8.47667714</v>
      </c>
      <c r="J26" s="128">
        <v>16.1281301</v>
      </c>
      <c r="K26" s="128">
        <f>+J26/2</f>
        <v>8.06406505</v>
      </c>
      <c r="L26" s="128">
        <v>15.758418</v>
      </c>
      <c r="M26" s="135">
        <f>+L26*0.5</f>
        <v>7.879209</v>
      </c>
      <c r="N26" s="129">
        <v>17.757176</v>
      </c>
      <c r="O26" s="129">
        <f>+N26*0.5</f>
        <v>8.878588</v>
      </c>
      <c r="P26" s="129">
        <f>16.795562-1.12625-1.082+0.06251-0.246223-3.122582+0.907998-0.797-L27-0.240895-1.016-0.5-0.757176+3.252477</f>
        <v>12.130420999999998</v>
      </c>
      <c r="Q26" s="129">
        <f>8.396115-1.12625-0.539+0.029467-0.123112-1.561291+0.454-0.3985-0.051182-0.131299-0.508-0.25-0.378588+1.626238+0.062034</f>
        <v>5.500632</v>
      </c>
      <c r="R26" s="130">
        <f>P26+N26+L26+J26+H26+F26+D26</f>
        <v>91.17550158</v>
      </c>
      <c r="S26" s="130">
        <f>Q26+O26+M26+K26+I26+G26+E26</f>
        <v>45.58629729</v>
      </c>
      <c r="T26" s="44"/>
      <c r="U26" s="44"/>
      <c r="V26" s="44"/>
    </row>
    <row r="27" spans="1:22" s="4" customFormat="1" ht="12.75">
      <c r="A27" s="97"/>
      <c r="B27" s="97"/>
      <c r="C27" s="6" t="s">
        <v>5</v>
      </c>
      <c r="D27" s="134">
        <v>31.3082581</v>
      </c>
      <c r="E27" s="128">
        <f>+D27/2</f>
        <v>15.65412905</v>
      </c>
      <c r="F27" s="128">
        <f>2.0217454+0.003332</f>
        <v>2.0250774</v>
      </c>
      <c r="G27" s="128">
        <f>1.01099386+0.003332</f>
        <v>1.0143258599999998</v>
      </c>
      <c r="H27" s="128">
        <v>0.75170132</v>
      </c>
      <c r="I27" s="128">
        <v>0.37585066</v>
      </c>
      <c r="J27" s="128">
        <v>0.87946014</v>
      </c>
      <c r="K27" s="128">
        <f>+J27/2</f>
        <v>0.43973007</v>
      </c>
      <c r="L27" s="128">
        <v>0</v>
      </c>
      <c r="M27" s="128">
        <f>+L27/2</f>
        <v>0</v>
      </c>
      <c r="N27" s="129">
        <v>0</v>
      </c>
      <c r="O27" s="129">
        <v>0</v>
      </c>
      <c r="P27" s="129"/>
      <c r="Q27" s="129"/>
      <c r="R27" s="130">
        <f>P27+N27+L27+J27+H27+F27+D27</f>
        <v>34.96449696</v>
      </c>
      <c r="S27" s="130">
        <f>Q27+O27+M27+K27+I27+G27+E27</f>
        <v>17.48403564</v>
      </c>
      <c r="T27" s="44"/>
      <c r="U27" s="44"/>
      <c r="V27" s="44"/>
    </row>
    <row r="28" spans="1:22" ht="33.75">
      <c r="A28" s="97">
        <v>14</v>
      </c>
      <c r="B28" s="97" t="s">
        <v>61</v>
      </c>
      <c r="C28" s="6" t="s">
        <v>33</v>
      </c>
      <c r="D28" s="128">
        <f>+E28</f>
        <v>0.271072</v>
      </c>
      <c r="E28" s="128">
        <v>0.271072</v>
      </c>
      <c r="F28" s="128">
        <v>3.945877</v>
      </c>
      <c r="G28" s="128">
        <f>1.9729385</f>
        <v>1.9729385</v>
      </c>
      <c r="H28" s="128">
        <v>6.53143032</v>
      </c>
      <c r="I28" s="128">
        <v>3.26571516</v>
      </c>
      <c r="J28" s="128">
        <v>7.7910946</v>
      </c>
      <c r="K28" s="128">
        <f>+J28*0.5</f>
        <v>3.8955473</v>
      </c>
      <c r="L28" s="128">
        <v>7.558359</v>
      </c>
      <c r="M28" s="128">
        <f>+L28*0.5</f>
        <v>3.7791795</v>
      </c>
      <c r="N28" s="129">
        <f>4.222-0.001233-0.480641+0.007924</f>
        <v>3.7480500000000005</v>
      </c>
      <c r="O28" s="129">
        <f>+N28*0.5-0.136236-0.021</f>
        <v>1.7167890000000003</v>
      </c>
      <c r="P28" s="129">
        <v>0.472717</v>
      </c>
      <c r="Q28" s="129">
        <f>+P28*0.5</f>
        <v>0.2363585</v>
      </c>
      <c r="R28" s="130">
        <f>SUM(D28+F28+H28+J28+L28+N28+P28)</f>
        <v>30.318599919999997</v>
      </c>
      <c r="S28" s="130">
        <f>SUM(E28+G28+I28+K28+M28+O28+Q28)</f>
        <v>15.13759996</v>
      </c>
      <c r="T28" s="48"/>
      <c r="U28" s="48"/>
      <c r="V28" s="48"/>
    </row>
    <row r="29" spans="1:22" ht="56.25">
      <c r="A29" s="97" t="s">
        <v>8</v>
      </c>
      <c r="B29" s="97" t="s">
        <v>67</v>
      </c>
      <c r="C29" s="6" t="s">
        <v>34</v>
      </c>
      <c r="D29" s="128">
        <f>+E29</f>
        <v>0.004357</v>
      </c>
      <c r="E29" s="128">
        <v>0.004357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9">
        <v>0</v>
      </c>
      <c r="O29" s="129">
        <v>0</v>
      </c>
      <c r="P29" s="129">
        <v>-0.004357</v>
      </c>
      <c r="Q29" s="129">
        <v>-0.004357</v>
      </c>
      <c r="R29" s="130">
        <f aca="true" t="shared" si="6" ref="R29:S32">+P29+N29+L29+J29+H29+F29+D29</f>
        <v>0</v>
      </c>
      <c r="S29" s="130">
        <f t="shared" si="6"/>
        <v>0</v>
      </c>
      <c r="T29" s="48"/>
      <c r="U29" s="48"/>
      <c r="V29" s="48"/>
    </row>
    <row r="30" spans="1:21" ht="45">
      <c r="A30" s="98" t="s">
        <v>36</v>
      </c>
      <c r="B30" s="98" t="s">
        <v>56</v>
      </c>
      <c r="C30" s="6" t="s">
        <v>35</v>
      </c>
      <c r="D30" s="128">
        <f>SUM(D31:D32)</f>
        <v>0</v>
      </c>
      <c r="E30" s="128">
        <f aca="true" t="shared" si="7" ref="E30:P30">SUM(E31:E32)</f>
        <v>0</v>
      </c>
      <c r="F30" s="128">
        <f t="shared" si="7"/>
        <v>2.9090457499999998</v>
      </c>
      <c r="G30" s="128">
        <f t="shared" si="7"/>
        <v>0.465571</v>
      </c>
      <c r="H30" s="128">
        <f t="shared" si="7"/>
        <v>5.552014000000001</v>
      </c>
      <c r="I30" s="128">
        <f>SUM(I31:I32)+0.001</f>
        <v>1.0225399999999998</v>
      </c>
      <c r="J30" s="136">
        <f t="shared" si="7"/>
        <v>8.93057134</v>
      </c>
      <c r="K30" s="128">
        <f t="shared" si="7"/>
        <v>1.8958283100000002</v>
      </c>
      <c r="L30" s="128">
        <f t="shared" si="7"/>
        <v>5.348</v>
      </c>
      <c r="M30" s="128">
        <f>SUM(M31:M32)</f>
        <v>1.134102</v>
      </c>
      <c r="N30" s="129">
        <f t="shared" si="7"/>
        <v>5.964476</v>
      </c>
      <c r="O30" s="129">
        <f>SUM(O31:O32)</f>
        <v>1.5702149999999997</v>
      </c>
      <c r="P30" s="129">
        <f t="shared" si="7"/>
        <v>8.148321</v>
      </c>
      <c r="Q30" s="129">
        <f>SUM(Q31:Q32)-0.001</f>
        <v>1.9640620000000002</v>
      </c>
      <c r="R30" s="130">
        <f t="shared" si="6"/>
        <v>36.85242809</v>
      </c>
      <c r="S30" s="130">
        <f t="shared" si="6"/>
        <v>8.05231831</v>
      </c>
      <c r="T30" s="48"/>
      <c r="U30" s="48"/>
    </row>
    <row r="31" spans="1:22" s="4" customFormat="1" ht="45">
      <c r="A31" s="98" t="s">
        <v>9</v>
      </c>
      <c r="B31" s="98"/>
      <c r="C31" s="6" t="s">
        <v>38</v>
      </c>
      <c r="D31" s="128"/>
      <c r="E31" s="128"/>
      <c r="F31" s="128">
        <v>0</v>
      </c>
      <c r="G31" s="128">
        <v>0</v>
      </c>
      <c r="H31" s="128">
        <v>1.011</v>
      </c>
      <c r="I31" s="128">
        <v>0.299</v>
      </c>
      <c r="J31" s="136">
        <v>3.42534584</v>
      </c>
      <c r="K31" s="128">
        <v>1.01499223</v>
      </c>
      <c r="L31" s="128">
        <v>2.051606</v>
      </c>
      <c r="M31" s="128">
        <v>0.607275</v>
      </c>
      <c r="N31" s="129">
        <v>4.5</v>
      </c>
      <c r="O31" s="129">
        <f>+N31*0.296</f>
        <v>1.3319999999999999</v>
      </c>
      <c r="P31" s="129">
        <f>5.649751-1.538036-0.010959-1.242178-0.290675-0.119475+2.784428-1.020708-0.5-0.5+1.652328</f>
        <v>4.864476</v>
      </c>
      <c r="Q31" s="129">
        <f>1.671455-0.45592-0.003672-0.367685-0.08604-0.035365+0.825318-0.30213-0.148-0.148+0.48909</f>
        <v>1.439051</v>
      </c>
      <c r="R31" s="130">
        <f t="shared" si="6"/>
        <v>15.852427839999999</v>
      </c>
      <c r="S31" s="130">
        <f t="shared" si="6"/>
        <v>4.692318230000001</v>
      </c>
      <c r="T31" s="44"/>
      <c r="U31" s="44"/>
      <c r="V31" s="44"/>
    </row>
    <row r="32" spans="1:22" s="4" customFormat="1" ht="22.5">
      <c r="A32" s="98" t="s">
        <v>10</v>
      </c>
      <c r="B32" s="98"/>
      <c r="C32" s="6" t="s">
        <v>37</v>
      </c>
      <c r="D32" s="128"/>
      <c r="E32" s="128"/>
      <c r="F32" s="128">
        <f>2.90981875-0.000773</f>
        <v>2.9090457499999998</v>
      </c>
      <c r="G32" s="128">
        <v>0.465571</v>
      </c>
      <c r="H32" s="128">
        <f>4.541+0.000014</f>
        <v>4.5410140000000006</v>
      </c>
      <c r="I32" s="128">
        <f>0.723-0.00046</f>
        <v>0.72254</v>
      </c>
      <c r="J32" s="128">
        <v>5.5052255</v>
      </c>
      <c r="K32" s="128">
        <v>0.88083608</v>
      </c>
      <c r="L32" s="128">
        <v>3.296394</v>
      </c>
      <c r="M32" s="128">
        <v>0.526827</v>
      </c>
      <c r="N32" s="129">
        <f>3.982708-2.110293-0.407939</f>
        <v>1.464476</v>
      </c>
      <c r="O32" s="129">
        <f>0.636736-0.333251-0.06527</f>
        <v>0.23821499999999995</v>
      </c>
      <c r="P32" s="129">
        <v>3.283845</v>
      </c>
      <c r="Q32" s="129">
        <v>0.526011</v>
      </c>
      <c r="R32" s="130">
        <f t="shared" si="6"/>
        <v>21.000000250000003</v>
      </c>
      <c r="S32" s="130">
        <f t="shared" si="6"/>
        <v>3.3600000800000003</v>
      </c>
      <c r="T32" s="44"/>
      <c r="U32" s="44"/>
      <c r="V32" s="44"/>
    </row>
    <row r="33" spans="1:21" s="4" customFormat="1" ht="12.75">
      <c r="A33" s="98"/>
      <c r="B33" s="98"/>
      <c r="C33" s="34" t="s">
        <v>49</v>
      </c>
      <c r="D33" s="128">
        <v>0</v>
      </c>
      <c r="E33" s="128">
        <v>0</v>
      </c>
      <c r="F33" s="128"/>
      <c r="G33" s="128"/>
      <c r="H33" s="128"/>
      <c r="I33" s="128"/>
      <c r="J33" s="128"/>
      <c r="K33" s="128"/>
      <c r="L33" s="128"/>
      <c r="M33" s="128"/>
      <c r="N33" s="129"/>
      <c r="O33" s="129"/>
      <c r="P33" s="129"/>
      <c r="Q33" s="129">
        <v>0</v>
      </c>
      <c r="R33" s="129"/>
      <c r="S33" s="129">
        <f>+Q33+O33+M33+K33+I33+G33+E33</f>
        <v>0</v>
      </c>
      <c r="T33" s="44"/>
      <c r="U33" s="44"/>
    </row>
    <row r="34" spans="1:21" s="3" customFormat="1" ht="12.75">
      <c r="A34" s="97"/>
      <c r="B34" s="97"/>
      <c r="C34" s="35" t="s">
        <v>4</v>
      </c>
      <c r="D34" s="128">
        <f>SUM(D33+D30+D29+D28+D27+D26+D25+D24+D23+D22+D21+D20+D19+D18+D15+D12+D11+D10+D9+D8)</f>
        <v>33.42736509999999</v>
      </c>
      <c r="E34" s="128">
        <f>SUM(E33+E30+E29+E28+E27+E26+E25+E24+E23+E22+E21+E20+E19+E18+E15+E12+E11+E10+E9+E8)</f>
        <v>17.773236049999998</v>
      </c>
      <c r="F34" s="128">
        <f>SUM(F30+F29+F28+F27+F26+F25+F24+F23+F22+F21+F20+F19+F18+F15+F12+F11+F10+F9+F8)</f>
        <v>43.73933235</v>
      </c>
      <c r="G34" s="128">
        <f>SUM(G30+G29+G28+G27+G26+G25+G24+G23+G22+G21+G20+G19+G18+G15+G12+G11+G10+G9+G8)</f>
        <v>13.301049059999999</v>
      </c>
      <c r="H34" s="128">
        <f>SUM(H30+H29+H28+H27+H26+H25+H24+H23+H22+H21+H20+H19+H18+H15+H12+H11+H10+H9+H8)</f>
        <v>56.62599992</v>
      </c>
      <c r="I34" s="128">
        <f>SUM(I33+I30+I29+I28+I27+I26+I25+I24+I23+I22+I21+I20+I19+I18+I15+I12+I11+I10+I9+I8)</f>
        <v>18.154125460000003</v>
      </c>
      <c r="J34" s="136">
        <f aca="true" t="shared" si="8" ref="J34:O34">SUM(J30+J29+J28+J27+J26+J25+J24+J23+J22+J21+J20+J19+J18+J15+J12+J11+J10+J9+J8)</f>
        <v>76.60005099666667</v>
      </c>
      <c r="K34" s="128">
        <f t="shared" si="8"/>
        <v>21.956520299999998</v>
      </c>
      <c r="L34" s="128">
        <f t="shared" si="8"/>
        <v>59.10577666666667</v>
      </c>
      <c r="M34" s="128">
        <f t="shared" si="8"/>
        <v>18.6513885</v>
      </c>
      <c r="N34" s="130">
        <f t="shared" si="8"/>
        <v>57.001476000000004</v>
      </c>
      <c r="O34" s="130">
        <f t="shared" si="8"/>
        <v>17.7100001</v>
      </c>
      <c r="P34" s="130">
        <f>SUM(P30+P29+P28+P27+P26+P25+P24+P23+P22+P21+P20+P19+P18+P15+P12+P11+P10+P9+P8)</f>
        <v>41.443933</v>
      </c>
      <c r="Q34" s="130">
        <f>+Q30+Q29+Q28+Q27+Q26+Q25+Q24+Q23+Q22+Q21+Q20+Q19+Q18+Q15+Q12+Q11+Q10+Q9+Q8+Q33</f>
        <v>11.1236285</v>
      </c>
      <c r="R34" s="130">
        <f>SUM(D34+F34+H34+J34+L34+N34+P34)</f>
        <v>367.94393403333333</v>
      </c>
      <c r="S34" s="130">
        <f>SUM(E34+G34+I34+K34+M34+O34+Q34)</f>
        <v>118.66994797</v>
      </c>
      <c r="T34" s="49"/>
      <c r="U34" s="49"/>
    </row>
    <row r="35" spans="1:19" s="5" customFormat="1" ht="12.75">
      <c r="A35" s="31"/>
      <c r="B35" s="31"/>
      <c r="C35" s="25"/>
      <c r="D35" s="24"/>
      <c r="E35" s="24"/>
      <c r="F35" s="24"/>
      <c r="G35" s="24"/>
      <c r="H35" s="24"/>
      <c r="I35" s="24"/>
      <c r="J35" s="24"/>
      <c r="K35" s="24"/>
      <c r="L35" s="81"/>
      <c r="M35" s="81"/>
      <c r="N35" s="24"/>
      <c r="O35" s="24"/>
      <c r="P35" s="24"/>
      <c r="Q35" s="24"/>
      <c r="R35" s="49"/>
      <c r="S35" s="49"/>
    </row>
    <row r="36" spans="1:2" ht="12.75">
      <c r="A36" s="43"/>
      <c r="B36" s="32"/>
    </row>
    <row r="37" spans="1:19" s="4" customFormat="1" ht="12.75">
      <c r="A37" s="33"/>
      <c r="B37" s="33"/>
      <c r="C37" s="27"/>
      <c r="E37" s="5"/>
      <c r="G37" s="44"/>
      <c r="I37" s="5"/>
      <c r="K37" s="5"/>
      <c r="L37" s="16"/>
      <c r="M37" s="18"/>
      <c r="O37" s="44"/>
      <c r="P37" s="44"/>
      <c r="Q37" s="5"/>
      <c r="R37" s="44"/>
      <c r="S37" s="5"/>
    </row>
    <row r="38" spans="4:19" ht="12.75">
      <c r="D38" s="71"/>
      <c r="G38" s="45"/>
      <c r="H38" s="44"/>
      <c r="I38" s="44"/>
      <c r="J38" s="70"/>
      <c r="K38" s="44"/>
      <c r="L38" s="50"/>
      <c r="M38" s="50"/>
      <c r="N38" s="44"/>
      <c r="O38" s="44"/>
      <c r="P38" s="44"/>
      <c r="Q38" s="44"/>
      <c r="R38" s="44"/>
      <c r="S38" s="44"/>
    </row>
    <row r="39" spans="4:17" ht="12.75">
      <c r="D39" s="47"/>
      <c r="I39" s="44"/>
      <c r="J39" s="70"/>
      <c r="O39" s="44"/>
      <c r="P39" s="44"/>
      <c r="Q39" s="44">
        <f>+-G38</f>
        <v>0</v>
      </c>
    </row>
    <row r="40" spans="4:16" ht="12.75">
      <c r="D40" s="47"/>
      <c r="J40" s="44"/>
      <c r="O40" s="44"/>
      <c r="P40" s="44"/>
    </row>
    <row r="41" spans="4:13" ht="12.75">
      <c r="D41" s="47"/>
      <c r="L41" s="50"/>
      <c r="M41" s="50"/>
    </row>
    <row r="42" spans="4:12" ht="12.75">
      <c r="D42" s="47"/>
      <c r="L42" s="50"/>
    </row>
    <row r="43" spans="4:12" ht="12.75">
      <c r="D43" s="47"/>
      <c r="L43" s="50"/>
    </row>
    <row r="44" spans="4:12" ht="12.75">
      <c r="D44" s="47"/>
      <c r="L44" s="50"/>
    </row>
    <row r="45" ht="12.75">
      <c r="D45" s="47"/>
    </row>
    <row r="46" ht="12.75">
      <c r="D46" s="47"/>
    </row>
    <row r="47" ht="12.75">
      <c r="D47" s="47"/>
    </row>
    <row r="48" ht="12.75">
      <c r="D48" s="47"/>
    </row>
    <row r="49" ht="12.75">
      <c r="D49" s="47"/>
    </row>
    <row r="50" ht="12.75">
      <c r="D50" s="47"/>
    </row>
    <row r="51" ht="12.75">
      <c r="D51" s="47"/>
    </row>
    <row r="52" ht="12.75">
      <c r="D52" s="47"/>
    </row>
    <row r="53" ht="12.75">
      <c r="D53" s="47"/>
    </row>
    <row r="54" ht="12.75">
      <c r="D54" s="47"/>
    </row>
    <row r="55" ht="12.75">
      <c r="D55" s="47"/>
    </row>
    <row r="56" ht="12.75">
      <c r="D56" s="47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2000-2006&amp;Rmodifica 11/2004
anticipi 12,5%
misure forestali
misura 6</oddHeader>
    <oddFooter>&amp;L&amp;P
&amp;N&amp;C&amp;"Arial Narrow,Normale"&amp;10&amp;F&amp;R&amp;A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32"/>
    <pageSetUpPr fitToPage="1"/>
  </sheetPr>
  <dimension ref="A1:V42"/>
  <sheetViews>
    <sheetView showGridLines="0" showZeros="0" workbookViewId="0" topLeftCell="A5">
      <pane xSplit="3" ySplit="3" topLeftCell="K24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140625" defaultRowHeight="12"/>
  <cols>
    <col min="1" max="1" width="8.00390625" style="8" customWidth="1"/>
    <col min="2" max="2" width="8.57421875" style="2" bestFit="1" customWidth="1"/>
    <col min="3" max="3" width="30.00390625" style="4" customWidth="1"/>
    <col min="4" max="5" width="11.7109375" style="16" customWidth="1"/>
    <col min="6" max="6" width="11.7109375" style="4" customWidth="1"/>
    <col min="7" max="7" width="11.7109375" style="9" customWidth="1"/>
    <col min="8" max="11" width="11.7109375" style="4" customWidth="1"/>
    <col min="12" max="13" width="11.7109375" style="16" customWidth="1"/>
    <col min="14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38" t="s">
        <v>44</v>
      </c>
      <c r="B1" s="22"/>
    </row>
    <row r="2" spans="1:2" ht="12.75">
      <c r="A2" s="38"/>
      <c r="B2" s="22"/>
    </row>
    <row r="3" spans="1:2" ht="12.75">
      <c r="A3" s="37" t="s">
        <v>46</v>
      </c>
      <c r="B3" s="30"/>
    </row>
    <row r="5" spans="1:19" s="21" customFormat="1" ht="12.75">
      <c r="A5" s="99"/>
      <c r="B5" s="90"/>
      <c r="C5" s="91"/>
      <c r="D5" s="162" t="s">
        <v>6</v>
      </c>
      <c r="E5" s="162"/>
      <c r="F5" s="161" t="s">
        <v>6</v>
      </c>
      <c r="G5" s="162"/>
      <c r="H5" s="161" t="s">
        <v>6</v>
      </c>
      <c r="I5" s="162"/>
      <c r="J5" s="161" t="s">
        <v>6</v>
      </c>
      <c r="K5" s="162"/>
      <c r="L5" s="161" t="s">
        <v>6</v>
      </c>
      <c r="M5" s="162"/>
      <c r="N5" s="163" t="s">
        <v>6</v>
      </c>
      <c r="O5" s="164"/>
      <c r="P5" s="163" t="s">
        <v>6</v>
      </c>
      <c r="Q5" s="165"/>
      <c r="R5" s="164" t="s">
        <v>1</v>
      </c>
      <c r="S5" s="165"/>
    </row>
    <row r="6" spans="1:19" s="8" customFormat="1" ht="12.75">
      <c r="A6" s="92" t="s">
        <v>69</v>
      </c>
      <c r="B6" s="92" t="s">
        <v>71</v>
      </c>
      <c r="C6" s="93" t="s">
        <v>0</v>
      </c>
      <c r="D6" s="155">
        <v>2000</v>
      </c>
      <c r="E6" s="155"/>
      <c r="F6" s="159">
        <v>2001</v>
      </c>
      <c r="G6" s="160"/>
      <c r="H6" s="155">
        <v>2002</v>
      </c>
      <c r="I6" s="155"/>
      <c r="J6" s="159">
        <v>2003</v>
      </c>
      <c r="K6" s="160"/>
      <c r="L6" s="155">
        <v>2004</v>
      </c>
      <c r="M6" s="155"/>
      <c r="N6" s="156">
        <v>2005</v>
      </c>
      <c r="O6" s="157"/>
      <c r="P6" s="156">
        <v>2006</v>
      </c>
      <c r="Q6" s="157"/>
      <c r="R6" s="158"/>
      <c r="S6" s="157"/>
    </row>
    <row r="7" spans="1:19" ht="38.25">
      <c r="A7" s="94" t="s">
        <v>70</v>
      </c>
      <c r="B7" s="94" t="s">
        <v>79</v>
      </c>
      <c r="C7" s="95"/>
      <c r="D7" s="15" t="s">
        <v>41</v>
      </c>
      <c r="E7" s="13" t="s">
        <v>3</v>
      </c>
      <c r="F7" s="15" t="s">
        <v>41</v>
      </c>
      <c r="G7" s="13" t="s">
        <v>3</v>
      </c>
      <c r="H7" s="15" t="s">
        <v>41</v>
      </c>
      <c r="I7" s="13" t="s">
        <v>3</v>
      </c>
      <c r="J7" s="15" t="s">
        <v>41</v>
      </c>
      <c r="K7" s="13" t="s">
        <v>3</v>
      </c>
      <c r="L7" s="15" t="s">
        <v>41</v>
      </c>
      <c r="M7" s="13" t="s">
        <v>3</v>
      </c>
      <c r="N7" s="100" t="s">
        <v>41</v>
      </c>
      <c r="O7" s="96" t="s">
        <v>3</v>
      </c>
      <c r="P7" s="100" t="s">
        <v>41</v>
      </c>
      <c r="Q7" s="96" t="s">
        <v>3</v>
      </c>
      <c r="R7" s="100" t="s">
        <v>41</v>
      </c>
      <c r="S7" s="96" t="s">
        <v>3</v>
      </c>
    </row>
    <row r="8" spans="1:20" ht="22.5">
      <c r="A8" s="98">
        <v>1</v>
      </c>
      <c r="B8" s="98" t="s">
        <v>52</v>
      </c>
      <c r="C8" s="6" t="s">
        <v>14</v>
      </c>
      <c r="D8" s="128">
        <f>+E8</f>
        <v>0.117857</v>
      </c>
      <c r="E8" s="128">
        <v>0.117857</v>
      </c>
      <c r="F8" s="128">
        <f>2.033958</f>
        <v>2.033958</v>
      </c>
      <c r="G8" s="128">
        <f>0.67791819</f>
        <v>0.67791819</v>
      </c>
      <c r="H8" s="128">
        <v>2.7702285</v>
      </c>
      <c r="I8" s="128">
        <v>0.92331716</v>
      </c>
      <c r="J8" s="128">
        <f>+'1) costi totali + UE'!K8+'3) costi totali +Bolzano'!K8+'4) costi totali +Stato'!K8</f>
        <v>4.223982599999999</v>
      </c>
      <c r="K8" s="128">
        <f>+'1) costi totali + UE'!K8</f>
        <v>1.407853</v>
      </c>
      <c r="L8" s="128">
        <f>+'1) costi totali + UE'!M8+'3) costi totali +Bolzano'!M8+'4) costi totali +Stato'!M8</f>
        <v>4.007065</v>
      </c>
      <c r="M8" s="128">
        <f>+'1) costi totali + UE'!M8</f>
        <v>1.335565</v>
      </c>
      <c r="N8" s="129">
        <f>+'1) costi totali + UE'!O8+'3) costi totali +Bolzano'!O8+'4) costi totali +Stato'!O8</f>
        <v>3.375</v>
      </c>
      <c r="O8" s="129">
        <f>+'1) costi totali + UE'!O8</f>
        <v>1.125</v>
      </c>
      <c r="P8" s="129">
        <f>+'1) costi totali + UE'!Q8+'3) costi totali +Bolzano'!Q8+'4) costi totali +Stato'!Q8</f>
        <v>0.6619090000000001</v>
      </c>
      <c r="Q8" s="129">
        <f>+'1) costi totali + UE'!Q8</f>
        <v>0.14249</v>
      </c>
      <c r="R8" s="130">
        <f aca="true" t="shared" si="0" ref="R8:S11">+P8+N8+L8+J8+H8+F8+D8</f>
        <v>17.1900001</v>
      </c>
      <c r="S8" s="130">
        <f t="shared" si="0"/>
        <v>5.730000349999999</v>
      </c>
      <c r="T8" s="44"/>
    </row>
    <row r="9" spans="1:20" ht="22.5">
      <c r="A9" s="98">
        <v>2</v>
      </c>
      <c r="B9" s="98" t="s">
        <v>53</v>
      </c>
      <c r="C9" s="6" t="s">
        <v>15</v>
      </c>
      <c r="D9" s="128">
        <f>+E9</f>
        <v>0.03125</v>
      </c>
      <c r="E9" s="128">
        <v>0.03125</v>
      </c>
      <c r="F9" s="128">
        <v>0.57499991</v>
      </c>
      <c r="G9" s="128">
        <v>0.28749995</v>
      </c>
      <c r="H9" s="128">
        <v>1.4975</v>
      </c>
      <c r="I9" s="128">
        <v>0.74875</v>
      </c>
      <c r="J9" s="128">
        <f>+'1) costi totali + UE'!K9+'3) costi totali +Bolzano'!K9+'4) costi totali +Stato'!K9</f>
        <v>1.1025</v>
      </c>
      <c r="K9" s="128">
        <f>+'1) costi totali + UE'!K9</f>
        <v>0.55125</v>
      </c>
      <c r="L9" s="128">
        <f>+'1) costi totali + UE'!M9+'3) costi totali +Bolzano'!M9+'4) costi totali +Stato'!M9</f>
        <v>1.414</v>
      </c>
      <c r="M9" s="128">
        <f>+'1) costi totali + UE'!M9</f>
        <v>0.707</v>
      </c>
      <c r="N9" s="129">
        <f>+'1) costi totali + UE'!O9+'3) costi totali +Bolzano'!O9+'4) costi totali +Stato'!O9</f>
        <v>0</v>
      </c>
      <c r="O9" s="129">
        <f>+'1) costi totali + UE'!O9</f>
        <v>0</v>
      </c>
      <c r="P9" s="129">
        <f>+'1) costi totali + UE'!Q9+'3) costi totali +Bolzano'!Q9+'4) costi totali +Stato'!Q9</f>
        <v>1.231751</v>
      </c>
      <c r="Q9" s="129">
        <f>+'1) costi totali + UE'!Q9</f>
        <v>0.6002500000000001</v>
      </c>
      <c r="R9" s="130">
        <f t="shared" si="0"/>
        <v>5.85200091</v>
      </c>
      <c r="S9" s="130">
        <f t="shared" si="0"/>
        <v>2.92599995</v>
      </c>
      <c r="T9" s="44"/>
    </row>
    <row r="10" spans="1:20" ht="12.75">
      <c r="A10" s="98">
        <v>3</v>
      </c>
      <c r="B10" s="98" t="s">
        <v>54</v>
      </c>
      <c r="C10" s="6" t="s">
        <v>16</v>
      </c>
      <c r="D10" s="128">
        <f>+E10</f>
        <v>0.006696</v>
      </c>
      <c r="E10" s="128">
        <v>0.006696</v>
      </c>
      <c r="F10" s="128">
        <v>0</v>
      </c>
      <c r="G10" s="128">
        <v>0</v>
      </c>
      <c r="H10" s="128"/>
      <c r="I10" s="128">
        <v>0</v>
      </c>
      <c r="J10" s="128">
        <v>0</v>
      </c>
      <c r="K10" s="128">
        <f>+'1) costi totali + UE'!K10</f>
        <v>0</v>
      </c>
      <c r="L10" s="128">
        <v>0</v>
      </c>
      <c r="M10" s="128">
        <f>+'1) costi totali + UE'!M10</f>
        <v>0</v>
      </c>
      <c r="N10" s="129">
        <v>0</v>
      </c>
      <c r="O10" s="129">
        <f>+'1) costi totali + UE'!O10</f>
        <v>0</v>
      </c>
      <c r="P10" s="129">
        <f>+Q10</f>
        <v>-0.006696</v>
      </c>
      <c r="Q10" s="129">
        <f>+'1) costi totali + UE'!Q10</f>
        <v>-0.006696</v>
      </c>
      <c r="R10" s="130">
        <f t="shared" si="0"/>
        <v>0</v>
      </c>
      <c r="S10" s="130">
        <f t="shared" si="0"/>
        <v>0</v>
      </c>
      <c r="T10" s="44"/>
    </row>
    <row r="11" spans="1:20" ht="12.75">
      <c r="A11" s="98">
        <v>4</v>
      </c>
      <c r="B11" s="98" t="s">
        <v>55</v>
      </c>
      <c r="C11" s="6" t="s">
        <v>17</v>
      </c>
      <c r="D11" s="128">
        <f>+E11</f>
        <v>0.001786</v>
      </c>
      <c r="E11" s="128">
        <v>0.001786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f>+'1) costi totali + UE'!K11</f>
        <v>0</v>
      </c>
      <c r="L11" s="128">
        <v>0</v>
      </c>
      <c r="M11" s="128">
        <f>+'1) costi totali + UE'!M11</f>
        <v>0</v>
      </c>
      <c r="N11" s="129">
        <v>0</v>
      </c>
      <c r="O11" s="129">
        <f>+'1) costi totali + UE'!O11</f>
        <v>0</v>
      </c>
      <c r="P11" s="129">
        <f>+Q11</f>
        <v>-0.001786</v>
      </c>
      <c r="Q11" s="129">
        <f>+'1) costi totali + UE'!Q11</f>
        <v>-0.001786</v>
      </c>
      <c r="R11" s="130">
        <f t="shared" si="0"/>
        <v>0</v>
      </c>
      <c r="S11" s="130">
        <f t="shared" si="0"/>
        <v>0</v>
      </c>
      <c r="T11" s="44"/>
    </row>
    <row r="12" spans="1:20" ht="45">
      <c r="A12" s="98" t="s">
        <v>21</v>
      </c>
      <c r="B12" s="98" t="s">
        <v>68</v>
      </c>
      <c r="C12" s="6" t="s">
        <v>39</v>
      </c>
      <c r="D12" s="128">
        <f aca="true" t="shared" si="1" ref="D12:I12">SUM(D13:D14)</f>
        <v>0.040179</v>
      </c>
      <c r="E12" s="128">
        <f t="shared" si="1"/>
        <v>0.040179</v>
      </c>
      <c r="F12" s="128">
        <f t="shared" si="1"/>
        <v>0.77304726</v>
      </c>
      <c r="G12" s="128">
        <f t="shared" si="1"/>
        <v>0.25765665</v>
      </c>
      <c r="H12" s="128">
        <f t="shared" si="1"/>
        <v>0.5518850000000001</v>
      </c>
      <c r="I12" s="128">
        <f t="shared" si="1"/>
        <v>0.18319147</v>
      </c>
      <c r="J12" s="128">
        <f>+'1) costi totali + UE'!K12+'3) costi totali +Bolzano'!K12+'4) costi totali +Stato'!K12</f>
        <v>1.54797063</v>
      </c>
      <c r="K12" s="128">
        <f>+'1) costi totali + UE'!K12</f>
        <v>0.5099974899999999</v>
      </c>
      <c r="L12" s="128">
        <f>+'1) costi totali + UE'!M12+'3) costi totali +Bolzano'!M12+'4) costi totali +Stato'!M12</f>
        <v>1.7339000000000002</v>
      </c>
      <c r="M12" s="128">
        <f>+'1) costi totali + UE'!M12</f>
        <v>0.5630000000000001</v>
      </c>
      <c r="N12" s="129">
        <f>+'1) costi totali + UE'!O12+'3) costi totali +Bolzano'!O12+'4) costi totali +Stato'!O12</f>
        <v>3.3731970000000002</v>
      </c>
      <c r="O12" s="129">
        <f>+'1) costi totali + UE'!O12</f>
        <v>1.112933</v>
      </c>
      <c r="P12" s="129">
        <f>+'1) costi totali + UE'!Q12+'3) costi totali +Bolzano'!Q12+'4) costi totali +Stato'!Q12</f>
        <v>1.1218180000000002</v>
      </c>
      <c r="Q12" s="129">
        <f>+'1) costi totali + UE'!Q12</f>
        <v>0.34704000000000007</v>
      </c>
      <c r="R12" s="130">
        <f>SUM(P12+N12+L12+J12+H12+F12+D12)</f>
        <v>9.141996890000001</v>
      </c>
      <c r="S12" s="130">
        <f>SUM(Q12+O12+M12+K12+I12+G12+E12)</f>
        <v>3.01399761</v>
      </c>
      <c r="T12" s="44"/>
    </row>
    <row r="13" spans="1:21" ht="12.75">
      <c r="A13" s="98" t="s">
        <v>22</v>
      </c>
      <c r="B13" s="98"/>
      <c r="C13" s="6" t="s">
        <v>24</v>
      </c>
      <c r="D13" s="128">
        <f>+E13</f>
        <v>0.040179</v>
      </c>
      <c r="E13" s="128">
        <v>0.040179</v>
      </c>
      <c r="F13" s="128">
        <v>0.77304726</v>
      </c>
      <c r="G13" s="128">
        <v>0.25765665</v>
      </c>
      <c r="H13" s="128">
        <v>0.515885</v>
      </c>
      <c r="I13" s="128">
        <f>0.172+0.00019147</f>
        <v>0.17219146999999999</v>
      </c>
      <c r="J13" s="128">
        <f>+'1) costi totali + UE'!K13+'3) costi totali +Bolzano'!K13+'4) costi totali +Stato'!K13</f>
        <v>1.262339</v>
      </c>
      <c r="K13" s="128">
        <f>+'1) costi totali + UE'!K13</f>
        <v>0.4207376</v>
      </c>
      <c r="L13" s="128">
        <f>+'1) costi totali + UE'!M13+'3) costi totali +Bolzano'!M13+'4) costi totali +Stato'!M13</f>
        <v>1.0139</v>
      </c>
      <c r="M13" s="128">
        <f>+'1) costi totali + UE'!M13</f>
        <v>0.338</v>
      </c>
      <c r="N13" s="129">
        <f>+'1) costi totali + UE'!O13+'3) costi totali +Bolzano'!O13+'4) costi totali +Stato'!O13</f>
        <v>2.814579</v>
      </c>
      <c r="O13" s="129">
        <f>+'1) costi totali + UE'!O13</f>
        <v>0.9381929999999999</v>
      </c>
      <c r="P13" s="129">
        <f>+'1) costi totali + UE'!Q13+'3) costi totali +Bolzano'!Q13+'4) costi totali +Stato'!Q13+0.000251</f>
        <v>1.1220690000000002</v>
      </c>
      <c r="Q13" s="129">
        <f>+'1) costi totali + UE'!Q13</f>
        <v>0.34704000000000007</v>
      </c>
      <c r="R13" s="130">
        <f>SUM(P13+N13+L13+J13+H13+F13+D13)</f>
        <v>7.541998260000001</v>
      </c>
      <c r="S13" s="130">
        <f>SUM(Q13+O13+M13+K13+I13+G13+E13)</f>
        <v>2.5139977200000003</v>
      </c>
      <c r="T13" s="44"/>
      <c r="U13" s="44"/>
    </row>
    <row r="14" spans="1:20" ht="33.75">
      <c r="A14" s="98" t="s">
        <v>23</v>
      </c>
      <c r="B14" s="98"/>
      <c r="C14" s="6" t="s">
        <v>40</v>
      </c>
      <c r="D14" s="128"/>
      <c r="E14" s="128"/>
      <c r="F14" s="128">
        <v>0</v>
      </c>
      <c r="G14" s="128">
        <v>0</v>
      </c>
      <c r="H14" s="128">
        <v>0.036</v>
      </c>
      <c r="I14" s="128">
        <v>0.011</v>
      </c>
      <c r="J14" s="128">
        <f>+'1) costi totali + UE'!K14+'3) costi totali +Bolzano'!K14+'4) costi totali +Stato'!K14</f>
        <v>0.28563162999999997</v>
      </c>
      <c r="K14" s="128">
        <f>+'1) costi totali + UE'!K14</f>
        <v>0.08925989</v>
      </c>
      <c r="L14" s="128">
        <f>+'1) costi totali + UE'!M14+'3) costi totali +Bolzano'!M14+'4) costi totali +Stato'!M14</f>
        <v>0.7200000000000001</v>
      </c>
      <c r="M14" s="128">
        <f>+'1) costi totali + UE'!M14</f>
        <v>0.225</v>
      </c>
      <c r="N14" s="129">
        <f>+'1) costi totali + UE'!O14+'3) costi totali +Bolzano'!O14+'4) costi totali +Stato'!O14-0.00025</f>
        <v>0.5583679999999999</v>
      </c>
      <c r="O14" s="129">
        <f>+'1) costi totali + UE'!O14</f>
        <v>0.17474</v>
      </c>
      <c r="P14" s="129">
        <f>+'1) costi totali + UE'!Q14+'3) costi totali +Bolzano'!Q14+'4) costi totali +Stato'!Q14</f>
        <v>0</v>
      </c>
      <c r="Q14" s="129">
        <f>+'1) costi totali + UE'!Q14</f>
        <v>0</v>
      </c>
      <c r="R14" s="130">
        <f>SUM(P14+N14+L14+J14+H14+F14)</f>
        <v>1.59999963</v>
      </c>
      <c r="S14" s="130">
        <f>SUM(Q14+O14+M14+K14+I14+G14)</f>
        <v>0.49999989</v>
      </c>
      <c r="T14" s="80"/>
    </row>
    <row r="15" spans="1:20" ht="45">
      <c r="A15" s="98" t="s">
        <v>11</v>
      </c>
      <c r="B15" s="98" t="s">
        <v>56</v>
      </c>
      <c r="C15" s="6" t="s">
        <v>18</v>
      </c>
      <c r="D15" s="128">
        <f>SUM(D16:D17)</f>
        <v>0.1455</v>
      </c>
      <c r="E15" s="128">
        <f>SUM(E16:E17)</f>
        <v>0.1455</v>
      </c>
      <c r="F15" s="128">
        <f>SUM(F16:F17)-0.001</f>
        <v>0.067</v>
      </c>
      <c r="G15" s="128">
        <f>SUM(G16:G17)</f>
        <v>0.023</v>
      </c>
      <c r="H15" s="128">
        <f>SUM(H16:H17)</f>
        <v>0.458</v>
      </c>
      <c r="I15" s="128">
        <f>SUM(I16:I17)</f>
        <v>0.16899999999999998</v>
      </c>
      <c r="J15" s="128">
        <f>+'1) costi totali + UE'!K15+'3) costi totali +Bolzano'!K15+'4) costi totali +Stato'!K15</f>
        <v>0.32209274</v>
      </c>
      <c r="K15" s="128">
        <f>+'1) costi totali + UE'!K15</f>
        <v>0.11834651</v>
      </c>
      <c r="L15" s="128">
        <f>+'1) costi totali + UE'!M15+'3) costi totali +Bolzano'!M15+'4) costi totali +Stato'!M15</f>
        <v>0.431022</v>
      </c>
      <c r="M15" s="128">
        <f>+'1) costi totali + UE'!M15</f>
        <v>0.153333</v>
      </c>
      <c r="N15" s="129">
        <f>+'1) costi totali + UE'!O15+'3) costi totali +Bolzano'!O15+'4) costi totali +Stato'!O15</f>
        <v>0.4312103</v>
      </c>
      <c r="O15" s="129">
        <f>+'1) costi totali + UE'!O15</f>
        <v>0.153333</v>
      </c>
      <c r="P15" s="129">
        <f>+'1) costi totali + UE'!Q15+'3) costi totali +Bolzano'!Q15+'4) costi totali +Stato'!Q15-0.000074-0.002002</f>
        <v>0.480175</v>
      </c>
      <c r="Q15" s="129">
        <f>+'1) costi totali + UE'!Q15</f>
        <v>0.07498800000000004</v>
      </c>
      <c r="R15" s="130">
        <f>SUM(P15+N15+L15+J15+H15+F15+D15)</f>
        <v>2.3350000400000006</v>
      </c>
      <c r="S15" s="130">
        <f>SUM(Q15+O15+M15+K15+I15+G15+E15)</f>
        <v>0.83750051</v>
      </c>
      <c r="T15" s="44"/>
    </row>
    <row r="16" spans="1:20" ht="45">
      <c r="A16" s="98" t="s">
        <v>12</v>
      </c>
      <c r="B16" s="98"/>
      <c r="C16" s="6" t="s">
        <v>19</v>
      </c>
      <c r="D16" s="128">
        <f>+E16</f>
        <v>0.1455</v>
      </c>
      <c r="E16" s="128">
        <v>0.1455</v>
      </c>
      <c r="F16" s="128">
        <v>0.032</v>
      </c>
      <c r="G16" s="128">
        <v>0.012</v>
      </c>
      <c r="H16" s="128">
        <v>0.402</v>
      </c>
      <c r="I16" s="128">
        <v>0.151</v>
      </c>
      <c r="J16" s="128">
        <f>+'1) costi totali + UE'!K16+'3) costi totali +Bolzano'!K16+'4) costi totali +Stato'!K16</f>
        <v>0.27906053</v>
      </c>
      <c r="K16" s="128">
        <f>+'1) costi totali + UE'!K16</f>
        <v>0.10489894</v>
      </c>
      <c r="L16" s="128">
        <f>+'1) costi totali + UE'!M16+'3) costi totali +Bolzano'!M16+'4) costi totali +Stato'!M16</f>
        <v>0.284356</v>
      </c>
      <c r="M16" s="128">
        <f>+'1) costi totali + UE'!M16</f>
        <v>0.1075</v>
      </c>
      <c r="N16" s="129">
        <f>+'1) costi totali + UE'!O16+'3) costi totali +Bolzano'!O16+'4) costi totali +Stato'!O16+0.001375</f>
        <v>0.285994</v>
      </c>
      <c r="O16" s="129">
        <f>+'1) costi totali + UE'!O16</f>
        <v>0.1075</v>
      </c>
      <c r="P16" s="129">
        <f>+'1) costi totali + UE'!Q16+'3) costi totali +Bolzano'!Q16+'4) costi totali +Stato'!Q16-0.0000005</f>
        <v>0.29308950000000006</v>
      </c>
      <c r="Q16" s="129">
        <f>+'1) costi totali + UE'!Q16</f>
        <v>0.016601000000000022</v>
      </c>
      <c r="R16" s="130">
        <f>SUM(P16+N16+L16+J16+H16+F16+D16)</f>
        <v>1.72200003</v>
      </c>
      <c r="S16" s="130">
        <f>SUM(Q16+O16+M16+K16+I16+G16+E16)</f>
        <v>0.6449999399999999</v>
      </c>
      <c r="T16" s="44"/>
    </row>
    <row r="17" spans="1:21" ht="67.5">
      <c r="A17" s="98" t="s">
        <v>13</v>
      </c>
      <c r="B17" s="98"/>
      <c r="C17" s="6" t="s">
        <v>20</v>
      </c>
      <c r="D17" s="128"/>
      <c r="E17" s="128"/>
      <c r="F17" s="128">
        <v>0.036</v>
      </c>
      <c r="G17" s="128">
        <v>0.011</v>
      </c>
      <c r="H17" s="128">
        <v>0.056</v>
      </c>
      <c r="I17" s="128">
        <v>0.018</v>
      </c>
      <c r="J17" s="128">
        <f>+'1) costi totali + UE'!K17+'3) costi totali +Bolzano'!K17+'4) costi totali +Stato'!K17</f>
        <v>0.04303221</v>
      </c>
      <c r="K17" s="128">
        <f>+'1) costi totali + UE'!K17</f>
        <v>0.01344757</v>
      </c>
      <c r="L17" s="128">
        <f>+'1) costi totali + UE'!M17+'3) costi totali +Bolzano'!M17+'4) costi totali +Stato'!M17</f>
        <v>0.14666600000000002</v>
      </c>
      <c r="M17" s="128">
        <f>+'1) costi totali + UE'!M17</f>
        <v>0.045833</v>
      </c>
      <c r="N17" s="129">
        <f>+'1) costi totali + UE'!O17+'3) costi totali +Bolzano'!O17+'4) costi totali +Stato'!O17</f>
        <v>0.14659129999999998</v>
      </c>
      <c r="O17" s="129">
        <f>+'1) costi totali + UE'!O17</f>
        <v>0.045833</v>
      </c>
      <c r="P17" s="129">
        <f>+'1) costi totali + UE'!Q17+'3) costi totali +Bolzano'!Q17+'4) costi totali +Stato'!Q17+0.001197+0.000355-0.002002</f>
        <v>0.18771099999999996</v>
      </c>
      <c r="Q17" s="129">
        <f>+'1) costi totali + UE'!Q17</f>
        <v>0.058387000000000015</v>
      </c>
      <c r="R17" s="130">
        <f>SUM(P17+N17+L17+J17+H17+F17)</f>
        <v>0.61600051</v>
      </c>
      <c r="S17" s="130">
        <f>SUM(Q17+O17+M17+K17+I17+G17)</f>
        <v>0.19250056999999998</v>
      </c>
      <c r="T17" s="44"/>
      <c r="U17" s="44"/>
    </row>
    <row r="18" spans="1:20" ht="33.75">
      <c r="A18" s="98"/>
      <c r="B18" s="98" t="s">
        <v>57</v>
      </c>
      <c r="C18" s="6" t="s">
        <v>7</v>
      </c>
      <c r="D18" s="128">
        <f aca="true" t="shared" si="2" ref="D18:D26">+E18</f>
        <v>0.019107</v>
      </c>
      <c r="E18" s="128">
        <v>0.019107</v>
      </c>
      <c r="F18" s="128">
        <f>0.642-0.642</f>
        <v>0</v>
      </c>
      <c r="G18" s="128">
        <f>+F18/2</f>
        <v>0</v>
      </c>
      <c r="H18" s="128">
        <v>0</v>
      </c>
      <c r="I18" s="128">
        <f>+H18*0.5</f>
        <v>0</v>
      </c>
      <c r="J18" s="128">
        <v>0</v>
      </c>
      <c r="K18" s="128">
        <f>+'1) costi totali + UE'!K18</f>
        <v>0</v>
      </c>
      <c r="L18" s="128">
        <v>0</v>
      </c>
      <c r="M18" s="128">
        <f>+'1) costi totali + UE'!M18</f>
        <v>0</v>
      </c>
      <c r="N18" s="129">
        <v>0</v>
      </c>
      <c r="O18" s="129">
        <f>+'1) costi totali + UE'!O18</f>
        <v>0</v>
      </c>
      <c r="P18" s="129">
        <f>+Q18</f>
        <v>-0.019107</v>
      </c>
      <c r="Q18" s="129">
        <f>+'1) costi totali + UE'!Q18</f>
        <v>-0.019107</v>
      </c>
      <c r="R18" s="130">
        <f>+P18+N18+L18+J18+H18+F18+D18</f>
        <v>0</v>
      </c>
      <c r="S18" s="130">
        <f>+Q18+O18+M18+K18+I18+G18+E18</f>
        <v>0</v>
      </c>
      <c r="T18" s="44"/>
    </row>
    <row r="19" spans="1:21" ht="33.75">
      <c r="A19" s="98">
        <v>6</v>
      </c>
      <c r="B19" s="98" t="s">
        <v>62</v>
      </c>
      <c r="C19" s="6" t="s">
        <v>25</v>
      </c>
      <c r="D19" s="128">
        <f t="shared" si="2"/>
        <v>0.160714</v>
      </c>
      <c r="E19" s="128">
        <v>0.160714</v>
      </c>
      <c r="F19" s="128">
        <v>5.56623198</v>
      </c>
      <c r="G19" s="128">
        <v>2.08733699</v>
      </c>
      <c r="H19" s="128">
        <v>5.70334593</v>
      </c>
      <c r="I19" s="128">
        <v>2.13875472</v>
      </c>
      <c r="J19" s="128">
        <f>+'1) costi totali + UE'!K19+'3) costi totali +Bolzano'!K19+'4) costi totali +Stato'!K19</f>
        <v>8.939298666666666</v>
      </c>
      <c r="K19" s="128">
        <f>+'1) costi totali + UE'!K19</f>
        <v>3.352237</v>
      </c>
      <c r="L19" s="128">
        <f>+'1) costi totali + UE'!M19+'3) costi totali +Bolzano'!M19+'4) costi totali +Stato'!M19</f>
        <v>4.04</v>
      </c>
      <c r="M19" s="128">
        <f>+'1) costi totali + UE'!M19</f>
        <v>1.515</v>
      </c>
      <c r="N19" s="129">
        <f>+'1) costi totali + UE'!O19+'3) costi totali +Bolzano'!O19+'4) costi totali +Stato'!O19</f>
        <v>1.3603701</v>
      </c>
      <c r="O19" s="129">
        <f>+'1) costi totali + UE'!O19</f>
        <v>0.4099420999999999</v>
      </c>
      <c r="P19" s="129">
        <f>+'1) costi totali + UE'!Q19+'3) costi totali +Bolzano'!Q19+'4) costi totali +Stato'!Q19+0.000898</f>
        <v>2.410639</v>
      </c>
      <c r="Q19" s="129">
        <f>+'1) costi totali + UE'!Q19</f>
        <v>0.8112140000000001</v>
      </c>
      <c r="R19" s="130">
        <f aca="true" t="shared" si="3" ref="R19:R25">+P19+N19+L19+J19+H19+F19+D19</f>
        <v>28.180599676666667</v>
      </c>
      <c r="S19" s="130">
        <f aca="true" t="shared" si="4" ref="S19:S25">+Q19+O19+M19+K19+I19+G19+E19</f>
        <v>10.47519881</v>
      </c>
      <c r="T19" s="44"/>
      <c r="U19" s="44"/>
    </row>
    <row r="20" spans="1:20" ht="33.75">
      <c r="A20" s="98">
        <v>7</v>
      </c>
      <c r="B20" s="98" t="s">
        <v>63</v>
      </c>
      <c r="C20" s="6" t="s">
        <v>26</v>
      </c>
      <c r="D20" s="128">
        <f t="shared" si="2"/>
        <v>0.004464</v>
      </c>
      <c r="E20" s="128">
        <v>0.004464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f>+'1) costi totali + UE'!K20</f>
        <v>0</v>
      </c>
      <c r="L20" s="128">
        <v>0</v>
      </c>
      <c r="M20" s="128">
        <f>+'1) costi totali + UE'!M20</f>
        <v>0</v>
      </c>
      <c r="N20" s="129">
        <v>0</v>
      </c>
      <c r="O20" s="129">
        <f>+'1) costi totali + UE'!O20</f>
        <v>0</v>
      </c>
      <c r="P20" s="129">
        <f>+Q20</f>
        <v>-0.004464</v>
      </c>
      <c r="Q20" s="129">
        <f>+'1) costi totali + UE'!Q20</f>
        <v>-0.004464</v>
      </c>
      <c r="R20" s="130">
        <f t="shared" si="3"/>
        <v>0</v>
      </c>
      <c r="S20" s="130">
        <f t="shared" si="4"/>
        <v>0</v>
      </c>
      <c r="T20" s="44"/>
    </row>
    <row r="21" spans="1:20" ht="12.75">
      <c r="A21" s="98">
        <v>8</v>
      </c>
      <c r="B21" s="98" t="s">
        <v>58</v>
      </c>
      <c r="C21" s="6" t="s">
        <v>27</v>
      </c>
      <c r="D21" s="128">
        <f t="shared" si="2"/>
        <v>0.006696</v>
      </c>
      <c r="E21" s="128">
        <v>0.006696</v>
      </c>
      <c r="F21" s="128">
        <v>0.07499991</v>
      </c>
      <c r="G21" s="128">
        <v>0.03749989</v>
      </c>
      <c r="H21" s="128">
        <v>0.135</v>
      </c>
      <c r="I21" s="128">
        <v>0.0675</v>
      </c>
      <c r="J21" s="128">
        <f>+'1) costi totali + UE'!K21+'3) costi totali +Bolzano'!K21+'4) costi totali +Stato'!K21</f>
        <v>0.135</v>
      </c>
      <c r="K21" s="128">
        <f>+'1) costi totali + UE'!K21</f>
        <v>0.0675</v>
      </c>
      <c r="L21" s="128">
        <f>+'1) costi totali + UE'!M21+'3) costi totali +Bolzano'!M21+'4) costi totali +Stato'!M21-0.0005</f>
        <v>0.135</v>
      </c>
      <c r="M21" s="128">
        <f>+'1) costi totali + UE'!M21</f>
        <v>0.068</v>
      </c>
      <c r="N21" s="129">
        <f>+'1) costi totali + UE'!O21+'3) costi totali +Bolzano'!O21+'4) costi totali +Stato'!O21</f>
        <v>0.1355</v>
      </c>
      <c r="O21" s="129">
        <f>+'1) costi totali + UE'!O21</f>
        <v>0.068</v>
      </c>
      <c r="P21" s="129">
        <f>+'1) costi totali + UE'!Q21+'3) costi totali +Bolzano'!Q21+'4) costi totali +Stato'!Q21-0.001+0.0005</f>
        <v>0.127804</v>
      </c>
      <c r="Q21" s="129">
        <f>+'1) costi totali + UE'!Q21</f>
        <v>0.059804</v>
      </c>
      <c r="R21" s="130">
        <f t="shared" si="3"/>
        <v>0.7499999100000001</v>
      </c>
      <c r="S21" s="130">
        <f t="shared" si="4"/>
        <v>0.37499988999999995</v>
      </c>
      <c r="T21" s="44"/>
    </row>
    <row r="22" spans="1:20" ht="45">
      <c r="A22" s="98">
        <v>9</v>
      </c>
      <c r="B22" s="98" t="s">
        <v>59</v>
      </c>
      <c r="C22" s="6" t="s">
        <v>28</v>
      </c>
      <c r="D22" s="128">
        <f t="shared" si="2"/>
        <v>0.005357</v>
      </c>
      <c r="E22" s="128">
        <v>0.005357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f>+'1) costi totali + UE'!K22</f>
        <v>0</v>
      </c>
      <c r="L22" s="128">
        <v>0</v>
      </c>
      <c r="M22" s="128">
        <f>+'1) costi totali + UE'!M22</f>
        <v>0</v>
      </c>
      <c r="N22" s="129">
        <f>+'1) costi totali + UE'!O22+'3) costi totali +Bolzano'!O22+'4) costi totali +Stato'!O22</f>
        <v>0</v>
      </c>
      <c r="O22" s="129">
        <f>+'1) costi totali + UE'!O22</f>
        <v>0</v>
      </c>
      <c r="P22" s="129">
        <f>+'1) costi totali + UE'!Q22+'3) costi totali +Bolzano'!Q22+'4) costi totali +Stato'!Q22</f>
        <v>-0.005357</v>
      </c>
      <c r="Q22" s="129">
        <f>+'1) costi totali + UE'!Q22</f>
        <v>-0.005357</v>
      </c>
      <c r="R22" s="130">
        <f t="shared" si="3"/>
        <v>0</v>
      </c>
      <c r="S22" s="130">
        <f t="shared" si="4"/>
        <v>0</v>
      </c>
      <c r="T22" s="80"/>
    </row>
    <row r="23" spans="1:20" ht="22.5">
      <c r="A23" s="98">
        <v>10</v>
      </c>
      <c r="B23" s="98" t="s">
        <v>64</v>
      </c>
      <c r="C23" s="6" t="s">
        <v>29</v>
      </c>
      <c r="D23" s="128">
        <f t="shared" si="2"/>
        <v>0.005357</v>
      </c>
      <c r="E23" s="128">
        <v>0.005357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f>+'1) costi totali + UE'!K23</f>
        <v>0</v>
      </c>
      <c r="L23" s="128">
        <v>0</v>
      </c>
      <c r="M23" s="128">
        <f>+'1) costi totali + UE'!M23</f>
        <v>0</v>
      </c>
      <c r="N23" s="129">
        <v>0</v>
      </c>
      <c r="O23" s="129">
        <f>+'1) costi totali + UE'!O23</f>
        <v>0</v>
      </c>
      <c r="P23" s="129">
        <f>+Q23</f>
        <v>-0.005357</v>
      </c>
      <c r="Q23" s="129">
        <f>+'1) costi totali + UE'!Q23</f>
        <v>-0.005357</v>
      </c>
      <c r="R23" s="130">
        <f t="shared" si="3"/>
        <v>0</v>
      </c>
      <c r="S23" s="130">
        <f t="shared" si="4"/>
        <v>0</v>
      </c>
      <c r="T23" s="44"/>
    </row>
    <row r="24" spans="1:20" ht="33.75">
      <c r="A24" s="98">
        <v>11</v>
      </c>
      <c r="B24" s="98" t="s">
        <v>65</v>
      </c>
      <c r="C24" s="6" t="s">
        <v>30</v>
      </c>
      <c r="D24" s="128">
        <f t="shared" si="2"/>
        <v>0.064286</v>
      </c>
      <c r="E24" s="128">
        <v>0.064286</v>
      </c>
      <c r="F24" s="128">
        <v>0</v>
      </c>
      <c r="G24" s="128">
        <v>0</v>
      </c>
      <c r="H24" s="128">
        <v>0.79808897</v>
      </c>
      <c r="I24" s="128">
        <v>0.29529291</v>
      </c>
      <c r="J24" s="128">
        <f>+'1) costi totali + UE'!K24+'3) costi totali +Bolzano'!K24+'4) costi totali +Stato'!K24</f>
        <v>1.8436066800000002</v>
      </c>
      <c r="K24" s="128">
        <f>+'1) costi totali + UE'!K24</f>
        <v>0.68213447</v>
      </c>
      <c r="L24" s="128">
        <f>+'1) costi totali + UE'!M24+'3) costi totali +Bolzano'!M24+'4) costi totali +Stato'!M24</f>
        <v>1.993464</v>
      </c>
      <c r="M24" s="128">
        <f>+'1) costi totali + UE'!M24</f>
        <v>0.738</v>
      </c>
      <c r="N24" s="129">
        <f>+'1) costi totali + UE'!O24+'3) costi totali +Bolzano'!O24+'4) costi totali +Stato'!O24</f>
        <v>3.1999999999999997</v>
      </c>
      <c r="O24" s="129">
        <f>+'1) costi totali + UE'!O24</f>
        <v>1.184</v>
      </c>
      <c r="P24" s="129">
        <f>+'1) costi totali + UE'!Q24+'3) costi totali +Bolzano'!Q24+'4) costi totali +Stato'!Q24+0.000679</f>
        <v>1.8205537000000003</v>
      </c>
      <c r="Q24" s="129">
        <f>+'1) costi totali + UE'!Q24</f>
        <v>0.636286</v>
      </c>
      <c r="R24" s="130">
        <f t="shared" si="3"/>
        <v>9.71999935</v>
      </c>
      <c r="S24" s="130">
        <f t="shared" si="4"/>
        <v>3.5999993800000003</v>
      </c>
      <c r="T24" s="44"/>
    </row>
    <row r="25" spans="1:20" ht="22.5">
      <c r="A25" s="98">
        <v>12</v>
      </c>
      <c r="B25" s="98" t="s">
        <v>66</v>
      </c>
      <c r="C25" s="6" t="s">
        <v>31</v>
      </c>
      <c r="D25" s="128">
        <f t="shared" si="2"/>
        <v>0.108179</v>
      </c>
      <c r="E25" s="128">
        <v>0.108179</v>
      </c>
      <c r="F25" s="128">
        <v>2.20774995</v>
      </c>
      <c r="G25" s="128">
        <v>0.81642593</v>
      </c>
      <c r="H25" s="128">
        <v>1.31837815</v>
      </c>
      <c r="I25" s="128">
        <v>0.48753624</v>
      </c>
      <c r="J25" s="128">
        <f>+'1) costi totali + UE'!K25+'3) costi totali +Bolzano'!K25+'4) costi totali +Stato'!K25</f>
        <v>2.6285318</v>
      </c>
      <c r="K25" s="128">
        <f>+'1) costi totali + UE'!K25</f>
        <v>0.9720311</v>
      </c>
      <c r="L25" s="128">
        <f>+'1) costi totali + UE'!M25+'3) costi totali +Bolzano'!M25+'4) costi totali +Stato'!M25</f>
        <v>2.106171</v>
      </c>
      <c r="M25" s="128">
        <f>+'1) costi totali + UE'!M25</f>
        <v>0.779</v>
      </c>
      <c r="N25" s="129">
        <f>+'1) costi totali + UE'!O25+'3) costi totali +Bolzano'!O25+'4) costi totali +Stato'!O25</f>
        <v>4.032</v>
      </c>
      <c r="O25" s="129">
        <f>+'1) costi totali + UE'!O25</f>
        <v>1.4912</v>
      </c>
      <c r="P25" s="129">
        <f>+'1) costi totali + UE'!Q25+'3) costi totali +Bolzano'!Q25+'4) costi totali +Stato'!Q25</f>
        <v>2.3399900000000002</v>
      </c>
      <c r="Q25" s="129">
        <f>+'1) costi totali + UE'!Q25</f>
        <v>0.7976279999999999</v>
      </c>
      <c r="R25" s="130">
        <f t="shared" si="3"/>
        <v>14.740999900000002</v>
      </c>
      <c r="S25" s="130">
        <f t="shared" si="4"/>
        <v>5.45200027</v>
      </c>
      <c r="T25" s="44"/>
    </row>
    <row r="26" spans="1:22" ht="12.75">
      <c r="A26" s="98">
        <v>13</v>
      </c>
      <c r="B26" s="98" t="s">
        <v>60</v>
      </c>
      <c r="C26" s="6" t="s">
        <v>32</v>
      </c>
      <c r="D26" s="134">
        <f t="shared" si="2"/>
        <v>1.12625</v>
      </c>
      <c r="E26" s="128">
        <v>1.12625</v>
      </c>
      <c r="F26" s="128">
        <f>11.3217522</f>
        <v>11.3217522</v>
      </c>
      <c r="G26" s="128">
        <f>5.6608761</f>
        <v>5.6608761</v>
      </c>
      <c r="H26" s="128">
        <v>16.95335428</v>
      </c>
      <c r="I26" s="128">
        <v>8.47667714</v>
      </c>
      <c r="J26" s="128">
        <f>+'1) costi totali + UE'!K26+'3) costi totali +Bolzano'!K26+'4) costi totali +Stato'!K26</f>
        <v>16.1281301</v>
      </c>
      <c r="K26" s="128">
        <f>+'1) costi totali + UE'!K26</f>
        <v>8.06406505</v>
      </c>
      <c r="L26" s="128">
        <f>+'1) costi totali + UE'!M26+'3) costi totali +Bolzano'!M26+'4) costi totali +Stato'!M26</f>
        <v>15.758418</v>
      </c>
      <c r="M26" s="128">
        <f>+'1) costi totali + UE'!M26</f>
        <v>7.879209</v>
      </c>
      <c r="N26" s="129">
        <f>+'1) costi totali + UE'!O26+'3) costi totali +Bolzano'!O26+'4) costi totali +Stato'!O26</f>
        <v>17.757176</v>
      </c>
      <c r="O26" s="129">
        <f>+'1) costi totali + UE'!O26</f>
        <v>8.878588</v>
      </c>
      <c r="P26" s="129">
        <f>+'1) costi totali + UE'!Q26+'3) costi totali +Bolzano'!Q26+'4) costi totali +Stato'!Q26</f>
        <v>12.1304214</v>
      </c>
      <c r="Q26" s="129">
        <f>+'1) costi totali + UE'!Q26</f>
        <v>5.500632</v>
      </c>
      <c r="R26" s="130">
        <f>P26+N26+L26+J26+H26+F26+D26</f>
        <v>91.17550198</v>
      </c>
      <c r="S26" s="130">
        <f>Q26+O26+M26+K26+I26+G26+E26</f>
        <v>45.58629729</v>
      </c>
      <c r="T26" s="44"/>
      <c r="U26" s="44"/>
      <c r="V26" s="44"/>
    </row>
    <row r="27" spans="1:22" ht="12.75">
      <c r="A27" s="98"/>
      <c r="B27" s="98"/>
      <c r="C27" s="6" t="s">
        <v>5</v>
      </c>
      <c r="D27" s="134">
        <v>31.3082581</v>
      </c>
      <c r="E27" s="128">
        <v>15.65412905</v>
      </c>
      <c r="F27" s="128">
        <f>2.021745+0.003332</f>
        <v>2.025077</v>
      </c>
      <c r="G27" s="128">
        <f>1.01099386+0.003332</f>
        <v>1.0143258599999998</v>
      </c>
      <c r="H27" s="128">
        <v>0.75170132</v>
      </c>
      <c r="I27" s="128">
        <v>0.37585066</v>
      </c>
      <c r="J27" s="128">
        <f>+'1) costi totali + UE'!K27+'3) costi totali +Bolzano'!K27+'4) costi totali +Stato'!K27</f>
        <v>0.87946014</v>
      </c>
      <c r="K27" s="128">
        <f>+'1) costi totali + UE'!K27</f>
        <v>0.43973007</v>
      </c>
      <c r="L27" s="128">
        <f>+'1) costi totali + UE'!M27+'3) costi totali +Bolzano'!M27+'4) costi totali +Stato'!M27</f>
        <v>0</v>
      </c>
      <c r="M27" s="128">
        <f>+'1) costi totali + UE'!M27</f>
        <v>0</v>
      </c>
      <c r="N27" s="129">
        <v>0</v>
      </c>
      <c r="O27" s="129">
        <f>+'1) costi totali + UE'!O27</f>
        <v>0</v>
      </c>
      <c r="P27" s="129">
        <v>0</v>
      </c>
      <c r="Q27" s="129">
        <f>+'1) costi totali + UE'!Q27</f>
        <v>0</v>
      </c>
      <c r="R27" s="130">
        <f>P27+N27+L27+J27+H27+F27+D27</f>
        <v>34.96449656</v>
      </c>
      <c r="S27" s="130">
        <f>Q27+O27+M27+K27+I27+G27+E27</f>
        <v>17.48403564</v>
      </c>
      <c r="T27" s="44"/>
      <c r="U27" s="86"/>
      <c r="V27" s="5"/>
    </row>
    <row r="28" spans="1:20" ht="33.75">
      <c r="A28" s="98">
        <v>14</v>
      </c>
      <c r="B28" s="98" t="s">
        <v>61</v>
      </c>
      <c r="C28" s="6" t="s">
        <v>33</v>
      </c>
      <c r="D28" s="128">
        <f>+E28</f>
        <v>0.271072</v>
      </c>
      <c r="E28" s="128">
        <v>0.271072</v>
      </c>
      <c r="F28" s="128">
        <v>3.945877</v>
      </c>
      <c r="G28" s="128">
        <f>1.9729385</f>
        <v>1.9729385</v>
      </c>
      <c r="H28" s="128">
        <v>6.53143032</v>
      </c>
      <c r="I28" s="128">
        <v>3.26571516</v>
      </c>
      <c r="J28" s="128">
        <f>+'1) costi totali + UE'!K28+'3) costi totali +Bolzano'!K28+'4) costi totali +Stato'!K28</f>
        <v>7.7910946</v>
      </c>
      <c r="K28" s="128">
        <f>+'1) costi totali + UE'!K28</f>
        <v>3.8955473</v>
      </c>
      <c r="L28" s="128">
        <f>+'1) costi totali + UE'!M28+'3) costi totali +Bolzano'!M28+'4) costi totali +Stato'!M28</f>
        <v>7.558359</v>
      </c>
      <c r="M28" s="128">
        <f>+'1) costi totali + UE'!M28</f>
        <v>3.7791795</v>
      </c>
      <c r="N28" s="129">
        <f>+'1) costi totali + UE'!O28+'3) costi totali +Bolzano'!O28+'4) costi totali +Stato'!O28+0.001</f>
        <v>3.7480505</v>
      </c>
      <c r="O28" s="129">
        <f>+'1) costi totali + UE'!O28</f>
        <v>1.7167890000000003</v>
      </c>
      <c r="P28" s="129">
        <f>+'1) costi totali + UE'!Q28+'3) costi totali +Bolzano'!Q28+'4) costi totali +Stato'!Q28</f>
        <v>0.472717</v>
      </c>
      <c r="Q28" s="129">
        <f>+'1) costi totali + UE'!Q28</f>
        <v>0.2363585</v>
      </c>
      <c r="R28" s="130">
        <f>SUM(D28+F28+H28+J28+L28+N28+P28)</f>
        <v>30.31860042</v>
      </c>
      <c r="S28" s="130">
        <f>SUM(E28+G28+I28+K28+M28+O28+Q28)</f>
        <v>15.13759996</v>
      </c>
      <c r="T28" s="44"/>
    </row>
    <row r="29" spans="1:20" ht="56.25">
      <c r="A29" s="98" t="s">
        <v>8</v>
      </c>
      <c r="B29" s="98" t="s">
        <v>67</v>
      </c>
      <c r="C29" s="6" t="s">
        <v>34</v>
      </c>
      <c r="D29" s="128">
        <f>+E29</f>
        <v>0.004357</v>
      </c>
      <c r="E29" s="128">
        <v>0.004357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f>+'1) costi totali + UE'!K29</f>
        <v>0</v>
      </c>
      <c r="L29" s="128">
        <v>0</v>
      </c>
      <c r="M29" s="128">
        <f>+'1) costi totali + UE'!M29</f>
        <v>0</v>
      </c>
      <c r="N29" s="129">
        <v>0</v>
      </c>
      <c r="O29" s="129">
        <f>+'1) costi totali + UE'!O29</f>
        <v>0</v>
      </c>
      <c r="P29" s="129">
        <f>+Q29</f>
        <v>-0.004357</v>
      </c>
      <c r="Q29" s="129">
        <f>+'1) costi totali + UE'!Q29</f>
        <v>-0.004357</v>
      </c>
      <c r="R29" s="130">
        <f aca="true" t="shared" si="5" ref="R29:S32">+P29+N29+L29+J29+H29+F29+D29</f>
        <v>0</v>
      </c>
      <c r="S29" s="130">
        <f t="shared" si="5"/>
        <v>0</v>
      </c>
      <c r="T29" s="44"/>
    </row>
    <row r="30" spans="1:21" ht="45">
      <c r="A30" s="98" t="s">
        <v>36</v>
      </c>
      <c r="B30" s="98" t="s">
        <v>56</v>
      </c>
      <c r="C30" s="6" t="s">
        <v>35</v>
      </c>
      <c r="D30" s="128">
        <f>SUM(D31:D32)</f>
        <v>0</v>
      </c>
      <c r="E30" s="128">
        <f>SUM(E31:E32)</f>
        <v>0</v>
      </c>
      <c r="F30" s="128">
        <f>SUM(F31:F32)</f>
        <v>1.164263</v>
      </c>
      <c r="G30" s="128">
        <f>SUM(G31:G32)</f>
        <v>0.465571</v>
      </c>
      <c r="H30" s="128">
        <f>SUM(H31:H32)</f>
        <v>2.677405</v>
      </c>
      <c r="I30" s="128">
        <f>SUM(I31:I32)+0.001</f>
        <v>1.0225399999999998</v>
      </c>
      <c r="J30" s="128">
        <f>+'1) costi totali + UE'!K30+'3) costi totali +Bolzano'!K30+'4) costi totali +Stato'!K30</f>
        <v>5.1170594099999995</v>
      </c>
      <c r="K30" s="128">
        <f>+'1) costi totali + UE'!K30</f>
        <v>1.8958283100000002</v>
      </c>
      <c r="L30" s="128">
        <f>+'1) costi totali + UE'!M30+'3) costi totali +Bolzano'!M30+'4) costi totali +Stato'!M30</f>
        <v>3.062091</v>
      </c>
      <c r="M30" s="128">
        <f>+'1) costi totali + UE'!M30</f>
        <v>1.134102</v>
      </c>
      <c r="N30" s="129">
        <f>+'1) costi totali + UE'!O30+'3) costi totali +Bolzano'!O30+'4) costi totali +Stato'!O30+0.0003</f>
        <v>4.417428999999999</v>
      </c>
      <c r="O30" s="129">
        <f>+'1) costi totali + UE'!O30</f>
        <v>1.5702149999999997</v>
      </c>
      <c r="P30" s="129">
        <f>+'1) costi totali + UE'!Q30+'3) costi totali +Bolzano'!Q30+'4) costi totali +Stato'!Q30-0.001575+0.0000006+0.000354</f>
        <v>5.4491651</v>
      </c>
      <c r="Q30" s="129">
        <f>+'1) costi totali + UE'!Q30</f>
        <v>1.9640620000000002</v>
      </c>
      <c r="R30" s="130">
        <f>+P30+N30+L30+J30+H30+F30+D30+0.000004</f>
        <v>21.887416509999998</v>
      </c>
      <c r="S30" s="130">
        <f t="shared" si="5"/>
        <v>8.05231831</v>
      </c>
      <c r="T30" s="44"/>
      <c r="U30" s="44"/>
    </row>
    <row r="31" spans="1:21" ht="45">
      <c r="A31" s="98" t="s">
        <v>9</v>
      </c>
      <c r="B31" s="98"/>
      <c r="C31" s="6" t="s">
        <v>38</v>
      </c>
      <c r="D31" s="128"/>
      <c r="E31" s="128"/>
      <c r="F31" s="128">
        <v>0</v>
      </c>
      <c r="G31" s="128">
        <v>0</v>
      </c>
      <c r="H31" s="128">
        <v>0.86</v>
      </c>
      <c r="I31" s="128">
        <v>0.299</v>
      </c>
      <c r="J31" s="128">
        <f>+'1) costi totali + UE'!K31+'3) costi totali +Bolzano'!K31+'4) costi totali +Stato'!K31</f>
        <v>2.91496921</v>
      </c>
      <c r="K31" s="128">
        <f>+'1) costi totali + UE'!K31</f>
        <v>1.01499223</v>
      </c>
      <c r="L31" s="128">
        <f>+'1) costi totali + UE'!M31+'3) costi totali +Bolzano'!M31+'4) costi totali +Stato'!M31</f>
        <v>1.744717</v>
      </c>
      <c r="M31" s="128">
        <f>+'1) costi totali + UE'!M31</f>
        <v>0.607275</v>
      </c>
      <c r="N31" s="129">
        <f>+'1) costi totali + UE'!O31+'3) costi totali +Bolzano'!O31+'4) costi totali +Stato'!O31</f>
        <v>3.8295</v>
      </c>
      <c r="O31" s="129">
        <f>+'1) costi totali + UE'!O31</f>
        <v>1.3319999999999999</v>
      </c>
      <c r="P31" s="129">
        <f>+'1) costi totali + UE'!Q31+'3) costi totali +Bolzano'!Q31+'4) costi totali +Stato'!Q31+0.001563</f>
        <v>4.1412263000000005</v>
      </c>
      <c r="Q31" s="129">
        <f>+'1) costi totali + UE'!Q31</f>
        <v>1.439051</v>
      </c>
      <c r="R31" s="130">
        <f>+P31+N31+L31+J31+H31+F31+D31+0.000003</f>
        <v>13.49041551</v>
      </c>
      <c r="S31" s="130">
        <f t="shared" si="5"/>
        <v>4.692318230000001</v>
      </c>
      <c r="T31" s="44"/>
      <c r="U31" s="44"/>
    </row>
    <row r="32" spans="1:21" ht="22.5">
      <c r="A32" s="98" t="s">
        <v>10</v>
      </c>
      <c r="B32" s="98"/>
      <c r="C32" s="6" t="s">
        <v>37</v>
      </c>
      <c r="D32" s="128"/>
      <c r="E32" s="128"/>
      <c r="F32" s="128">
        <v>1.164263</v>
      </c>
      <c r="G32" s="128">
        <v>0.465571</v>
      </c>
      <c r="H32" s="128">
        <f>1.817405</f>
        <v>1.817405</v>
      </c>
      <c r="I32" s="128">
        <f>0.723-0.00046</f>
        <v>0.72254</v>
      </c>
      <c r="J32" s="128">
        <f>+'1) costi totali + UE'!K32+'3) costi totali +Bolzano'!K32+'4) costi totali +Stato'!K32</f>
        <v>2.2020902</v>
      </c>
      <c r="K32" s="128">
        <f>+'1) costi totali + UE'!K32</f>
        <v>0.88083608</v>
      </c>
      <c r="L32" s="128">
        <f>+'1) costi totali + UE'!M32+'3) costi totali +Bolzano'!M32+'4) costi totali +Stato'!M32</f>
        <v>1.317374</v>
      </c>
      <c r="M32" s="128">
        <f>+'1) costi totali + UE'!M32</f>
        <v>0.526827</v>
      </c>
      <c r="N32" s="129">
        <f>+'1) costi totali + UE'!O32+'3) costi totali +Bolzano'!O32+'4) costi totali +Stato'!O32-0.003483</f>
        <v>0.5841459999999999</v>
      </c>
      <c r="O32" s="129">
        <f>+'1) costi totali + UE'!O32</f>
        <v>0.23821499999999995</v>
      </c>
      <c r="P32" s="129">
        <f>+'1) costi totali + UE'!Q32+'3) costi totali +Bolzano'!Q32+'4) costi totali +Stato'!Q32</f>
        <v>1.3147212000000001</v>
      </c>
      <c r="Q32" s="129">
        <f>+'1) costi totali + UE'!Q32</f>
        <v>0.526011</v>
      </c>
      <c r="R32" s="130">
        <f t="shared" si="5"/>
        <v>8.3999994</v>
      </c>
      <c r="S32" s="130">
        <f t="shared" si="5"/>
        <v>3.3600000800000003</v>
      </c>
      <c r="T32" s="44"/>
      <c r="U32" s="44"/>
    </row>
    <row r="33" spans="1:20" ht="12.75">
      <c r="A33" s="98"/>
      <c r="B33" s="98"/>
      <c r="C33" s="6" t="s">
        <v>49</v>
      </c>
      <c r="D33" s="128"/>
      <c r="E33" s="128">
        <v>0</v>
      </c>
      <c r="F33" s="128"/>
      <c r="G33" s="128"/>
      <c r="H33" s="128"/>
      <c r="I33" s="128"/>
      <c r="J33" s="128"/>
      <c r="K33" s="128"/>
      <c r="L33" s="128"/>
      <c r="M33" s="128"/>
      <c r="N33" s="129"/>
      <c r="O33" s="129"/>
      <c r="P33" s="129"/>
      <c r="Q33" s="129">
        <v>0</v>
      </c>
      <c r="R33" s="129"/>
      <c r="S33" s="129">
        <f>+Q33+O33+M33+K33+I33+G33+E33+0</f>
        <v>0</v>
      </c>
      <c r="T33" s="44"/>
    </row>
    <row r="34" spans="1:20" s="9" customFormat="1" ht="12.75">
      <c r="A34" s="97"/>
      <c r="B34" s="97"/>
      <c r="C34" s="34" t="s">
        <v>4</v>
      </c>
      <c r="D34" s="128">
        <f aca="true" t="shared" si="6" ref="D34:I34">SUM(D33+D30+D29+D28+D27+D26+D25+D24+D23+D22+D21+D20+D19+D18+D15+D12+D11+D10+D9+D8)</f>
        <v>33.42736509999999</v>
      </c>
      <c r="E34" s="128">
        <f t="shared" si="6"/>
        <v>17.773236049999998</v>
      </c>
      <c r="F34" s="128">
        <f t="shared" si="6"/>
        <v>29.754956209999996</v>
      </c>
      <c r="G34" s="128">
        <f t="shared" si="6"/>
        <v>13.301049059999999</v>
      </c>
      <c r="H34" s="128">
        <f>SUM(H33+H30+H29+H28+H27+H26+H25+H24+H23+H22+H21+H20+H19+H18+H15+H12+H11+H10+H9+H8)</f>
        <v>40.14631747</v>
      </c>
      <c r="I34" s="128">
        <f t="shared" si="6"/>
        <v>18.154125460000003</v>
      </c>
      <c r="J34" s="128">
        <f aca="true" t="shared" si="7" ref="J34:O34">SUM(J30+J29+J28+J27+J26+J25+J24+J23+J22+J21+J20+J19+J18+J15+J12+J11+J10+J9+J8)</f>
        <v>50.65872736666667</v>
      </c>
      <c r="K34" s="128">
        <f t="shared" si="7"/>
        <v>21.956520299999998</v>
      </c>
      <c r="L34" s="128">
        <f t="shared" si="7"/>
        <v>42.239489999999996</v>
      </c>
      <c r="M34" s="128">
        <f>SUM(M30+M29+M28+M27+M26+M25+M24+M23+M22+M21+M20+M19+M18+M15+M12+M11+M10+M9+M8)</f>
        <v>18.6513885</v>
      </c>
      <c r="N34" s="130">
        <f t="shared" si="7"/>
        <v>41.829932899999996</v>
      </c>
      <c r="O34" s="130">
        <f t="shared" si="7"/>
        <v>17.7100001</v>
      </c>
      <c r="P34" s="130">
        <f>SUM(P30+P29+P28+P27+P26+P25+P24+P23+P22+P21+P20+P19+P18+P15+P12+P11+P10+P9+P8)+0.001005</f>
        <v>28.200824200000003</v>
      </c>
      <c r="Q34" s="130">
        <f>SUM(Q30+Q29+Q28+Q27+Q26+Q25+Q24+Q23+Q22+Q21+Q20+Q19+Q18+Q15+Q12+Q11+Q10+Q9+Q8)+Q33</f>
        <v>11.1236285</v>
      </c>
      <c r="R34" s="130">
        <f>SUM(D34+F34+H34+J34+L34+N34+P34)</f>
        <v>266.25761324666666</v>
      </c>
      <c r="S34" s="130">
        <f>SUM(E34+G34+I34+K34+M34+O34+Q34)</f>
        <v>118.66994797</v>
      </c>
      <c r="T34" s="45"/>
    </row>
    <row r="35" spans="2:19" ht="12.75">
      <c r="B35" s="31"/>
      <c r="C35" s="36"/>
      <c r="D35" s="17"/>
      <c r="E35" s="17"/>
      <c r="F35" s="10"/>
      <c r="G35" s="14"/>
      <c r="H35" s="10"/>
      <c r="I35" s="10"/>
      <c r="J35" s="10"/>
      <c r="K35" s="10"/>
      <c r="L35" s="81"/>
      <c r="M35" s="81"/>
      <c r="N35" s="24"/>
      <c r="O35" s="24"/>
      <c r="P35" s="24"/>
      <c r="Q35" s="24"/>
      <c r="R35" s="24"/>
      <c r="S35" s="24"/>
    </row>
    <row r="36" spans="1:19" ht="12.75">
      <c r="A36" s="52"/>
      <c r="B36" s="33"/>
      <c r="L36" s="18"/>
      <c r="M36" s="18"/>
      <c r="N36" s="5"/>
      <c r="O36" s="5"/>
      <c r="P36" s="5"/>
      <c r="Q36" s="5"/>
      <c r="R36" s="44"/>
      <c r="S36" s="5"/>
    </row>
    <row r="37" spans="2:19" ht="12.75">
      <c r="B37" s="33"/>
      <c r="C37" s="27"/>
      <c r="E37" s="50"/>
      <c r="G37" s="45"/>
      <c r="H37" s="44"/>
      <c r="I37" s="44"/>
      <c r="J37" s="44"/>
      <c r="L37" s="18"/>
      <c r="M37" s="18"/>
      <c r="N37" s="5"/>
      <c r="O37" s="5"/>
      <c r="P37" s="5"/>
      <c r="Q37" s="5"/>
      <c r="R37" s="5"/>
      <c r="S37" s="5"/>
    </row>
    <row r="38" spans="2:19" ht="12.75">
      <c r="B38" s="8"/>
      <c r="D38" s="50"/>
      <c r="F38" s="44"/>
      <c r="G38" s="45"/>
      <c r="H38" s="44"/>
      <c r="I38" s="44"/>
      <c r="L38" s="18"/>
      <c r="M38" s="18"/>
      <c r="N38" s="5"/>
      <c r="O38" s="5"/>
      <c r="P38" s="5"/>
      <c r="Q38" s="5"/>
      <c r="R38" s="5"/>
      <c r="S38" s="5"/>
    </row>
    <row r="39" spans="10:19" ht="12.75">
      <c r="J39" s="44"/>
      <c r="L39" s="18"/>
      <c r="M39" s="18"/>
      <c r="N39" s="5"/>
      <c r="O39" s="5"/>
      <c r="P39" s="5"/>
      <c r="Q39" s="5"/>
      <c r="R39" s="5"/>
      <c r="S39" s="5"/>
    </row>
    <row r="40" spans="4:19" ht="12.75">
      <c r="D40" s="18"/>
      <c r="F40" s="44"/>
      <c r="H40" s="44"/>
      <c r="L40" s="18"/>
      <c r="M40" s="18"/>
      <c r="N40" s="5"/>
      <c r="O40" s="5"/>
      <c r="P40" s="5"/>
      <c r="Q40" s="5"/>
      <c r="R40" s="5"/>
      <c r="S40" s="5"/>
    </row>
    <row r="41" spans="6:19" ht="12.75">
      <c r="F41" s="51"/>
      <c r="L41" s="18"/>
      <c r="M41" s="18"/>
      <c r="N41" s="5"/>
      <c r="O41" s="5"/>
      <c r="P41" s="5"/>
      <c r="Q41" s="5"/>
      <c r="R41" s="5"/>
      <c r="S41" s="5"/>
    </row>
    <row r="42" spans="12:19" ht="12.75">
      <c r="L42" s="18"/>
      <c r="M42" s="18"/>
      <c r="N42" s="5"/>
      <c r="O42" s="5"/>
      <c r="P42" s="5"/>
      <c r="Q42" s="5"/>
      <c r="R42" s="5"/>
      <c r="S42" s="5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2" r:id="rId1"/>
  <headerFooter alignWithMargins="0">
    <oddHeader>&amp;CPSR 2000-2006&amp;Rmodifica 11/2004
anticipi 12,5%
misure forestali
misura 6</oddHeader>
    <oddFooter>&amp;L&amp;P
&amp;N&amp;C&amp;"Arial Narrow,Normale"&amp;10&amp;F&amp;R&amp;A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32"/>
    <pageSetUpPr fitToPage="1"/>
  </sheetPr>
  <dimension ref="A1:V39"/>
  <sheetViews>
    <sheetView showGridLines="0" showZeros="0" workbookViewId="0" topLeftCell="A5">
      <pane xSplit="3" ySplit="3" topLeftCell="L25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140625" defaultRowHeight="12"/>
  <cols>
    <col min="1" max="1" width="6.8515625" style="1" customWidth="1"/>
    <col min="2" max="2" width="8.57421875" style="2" bestFit="1" customWidth="1"/>
    <col min="3" max="3" width="30.00390625" style="1" customWidth="1"/>
    <col min="4" max="5" width="11.7109375" style="11" customWidth="1"/>
    <col min="6" max="6" width="11.7109375" style="4" customWidth="1"/>
    <col min="7" max="7" width="11.7109375" style="9" customWidth="1"/>
    <col min="8" max="11" width="11.7109375" style="4" customWidth="1"/>
    <col min="12" max="13" width="11.7109375" style="16" customWidth="1"/>
    <col min="14" max="19" width="11.7109375" style="4" customWidth="1"/>
    <col min="20" max="20" width="10.57421875" style="1" customWidth="1"/>
    <col min="21" max="21" width="10.140625" style="1" bestFit="1" customWidth="1"/>
    <col min="22" max="16384" width="9.140625" style="1" customWidth="1"/>
  </cols>
  <sheetData>
    <row r="1" spans="1:2" ht="12.75">
      <c r="A1" s="3" t="s">
        <v>44</v>
      </c>
      <c r="B1" s="22"/>
    </row>
    <row r="2" spans="1:2" ht="12.75">
      <c r="A2" s="3"/>
      <c r="B2" s="22"/>
    </row>
    <row r="3" spans="1:2" ht="12.75">
      <c r="A3" s="23" t="s">
        <v>47</v>
      </c>
      <c r="B3" s="30"/>
    </row>
    <row r="5" spans="1:19" s="22" customFormat="1" ht="12.75">
      <c r="A5" s="99"/>
      <c r="B5" s="90"/>
      <c r="C5" s="91"/>
      <c r="D5" s="162" t="s">
        <v>6</v>
      </c>
      <c r="E5" s="162"/>
      <c r="F5" s="161" t="s">
        <v>6</v>
      </c>
      <c r="G5" s="162"/>
      <c r="H5" s="161" t="s">
        <v>6</v>
      </c>
      <c r="I5" s="162"/>
      <c r="J5" s="161" t="s">
        <v>6</v>
      </c>
      <c r="K5" s="162"/>
      <c r="L5" s="161" t="s">
        <v>6</v>
      </c>
      <c r="M5" s="162"/>
      <c r="N5" s="163" t="s">
        <v>6</v>
      </c>
      <c r="O5" s="164"/>
      <c r="P5" s="163" t="s">
        <v>6</v>
      </c>
      <c r="Q5" s="165"/>
      <c r="R5" s="164" t="s">
        <v>1</v>
      </c>
      <c r="S5" s="165"/>
    </row>
    <row r="6" spans="1:19" s="2" customFormat="1" ht="12.75">
      <c r="A6" s="92" t="s">
        <v>69</v>
      </c>
      <c r="B6" s="92" t="s">
        <v>71</v>
      </c>
      <c r="C6" s="93" t="s">
        <v>0</v>
      </c>
      <c r="D6" s="155">
        <v>2000</v>
      </c>
      <c r="E6" s="155"/>
      <c r="F6" s="159">
        <v>2001</v>
      </c>
      <c r="G6" s="160"/>
      <c r="H6" s="155">
        <v>2002</v>
      </c>
      <c r="I6" s="155"/>
      <c r="J6" s="159">
        <v>2003</v>
      </c>
      <c r="K6" s="160"/>
      <c r="L6" s="155">
        <v>2004</v>
      </c>
      <c r="M6" s="155"/>
      <c r="N6" s="156">
        <v>2005</v>
      </c>
      <c r="O6" s="157"/>
      <c r="P6" s="156">
        <v>2006</v>
      </c>
      <c r="Q6" s="157"/>
      <c r="R6" s="158"/>
      <c r="S6" s="157"/>
    </row>
    <row r="7" spans="1:19" ht="25.5">
      <c r="A7" s="94" t="s">
        <v>70</v>
      </c>
      <c r="B7" s="94" t="s">
        <v>79</v>
      </c>
      <c r="C7" s="95"/>
      <c r="D7" s="13" t="s">
        <v>2</v>
      </c>
      <c r="E7" s="13" t="s">
        <v>42</v>
      </c>
      <c r="F7" s="13" t="s">
        <v>2</v>
      </c>
      <c r="G7" s="13" t="s">
        <v>42</v>
      </c>
      <c r="H7" s="13" t="s">
        <v>2</v>
      </c>
      <c r="I7" s="13" t="s">
        <v>42</v>
      </c>
      <c r="J7" s="13" t="s">
        <v>2</v>
      </c>
      <c r="K7" s="13" t="s">
        <v>42</v>
      </c>
      <c r="L7" s="13" t="s">
        <v>2</v>
      </c>
      <c r="M7" s="13" t="s">
        <v>42</v>
      </c>
      <c r="N7" s="96" t="s">
        <v>2</v>
      </c>
      <c r="O7" s="96" t="s">
        <v>42</v>
      </c>
      <c r="P7" s="96" t="s">
        <v>2</v>
      </c>
      <c r="Q7" s="96" t="s">
        <v>42</v>
      </c>
      <c r="R7" s="96" t="s">
        <v>2</v>
      </c>
      <c r="S7" s="96" t="s">
        <v>42</v>
      </c>
    </row>
    <row r="8" spans="1:21" s="4" customFormat="1" ht="22.5">
      <c r="A8" s="101">
        <v>1</v>
      </c>
      <c r="B8" s="98" t="s">
        <v>52</v>
      </c>
      <c r="C8" s="6" t="s">
        <v>14</v>
      </c>
      <c r="D8" s="128">
        <v>0.117857</v>
      </c>
      <c r="E8" s="128">
        <v>0</v>
      </c>
      <c r="F8" s="128">
        <v>4.308999999999999</v>
      </c>
      <c r="G8" s="128">
        <v>0.40679161</v>
      </c>
      <c r="H8" s="128">
        <v>5.923</v>
      </c>
      <c r="I8" s="128">
        <v>0.55404569</v>
      </c>
      <c r="J8" s="128">
        <f>+'1) costi totali + UE'!J8</f>
        <v>9.82793762</v>
      </c>
      <c r="K8" s="128">
        <v>0.8447966</v>
      </c>
      <c r="L8" s="128">
        <f>+'1) costi totali + UE'!L8</f>
        <v>8.905</v>
      </c>
      <c r="M8" s="128">
        <v>0.80145</v>
      </c>
      <c r="N8" s="129">
        <f>+'1) costi totali + UE'!N8</f>
        <v>7.5</v>
      </c>
      <c r="O8" s="129">
        <f>+N8*0.09</f>
        <v>0.6749999999999999</v>
      </c>
      <c r="P8" s="129">
        <f>+'1) costi totali + UE'!P8</f>
        <v>1.6175389999999996</v>
      </c>
      <c r="Q8" s="129">
        <f>0.070533+0.223225-0.100199-0.104992+0.067349</f>
        <v>0.15591600000000005</v>
      </c>
      <c r="R8" s="130">
        <f aca="true" t="shared" si="0" ref="R8:S11">+P8+N8+L8+J8+H8+F8+D8</f>
        <v>38.200333619999995</v>
      </c>
      <c r="S8" s="130">
        <f t="shared" si="0"/>
        <v>3.4379999</v>
      </c>
      <c r="T8" s="44"/>
      <c r="U8" s="44"/>
    </row>
    <row r="9" spans="1:21" ht="22.5">
      <c r="A9" s="101">
        <v>2</v>
      </c>
      <c r="B9" s="98" t="s">
        <v>53</v>
      </c>
      <c r="C9" s="6" t="s">
        <v>15</v>
      </c>
      <c r="D9" s="128">
        <v>0.03125</v>
      </c>
      <c r="E9" s="128">
        <v>0</v>
      </c>
      <c r="F9" s="128">
        <v>0.575</v>
      </c>
      <c r="G9" s="128">
        <v>0.08624998</v>
      </c>
      <c r="H9" s="128">
        <v>1.4975</v>
      </c>
      <c r="I9" s="128">
        <v>0.224625</v>
      </c>
      <c r="J9" s="128">
        <f>+'1) costi totali + UE'!J9</f>
        <v>1.1025</v>
      </c>
      <c r="K9" s="128">
        <f>+J9*0.15</f>
        <v>0.165375</v>
      </c>
      <c r="L9" s="128">
        <f>+'1) costi totali + UE'!L9</f>
        <v>1.414</v>
      </c>
      <c r="M9" s="128">
        <f>+L9*0.15</f>
        <v>0.21209999999999998</v>
      </c>
      <c r="N9" s="129">
        <f>+'1) costi totali + UE'!N9</f>
        <v>0</v>
      </c>
      <c r="O9" s="129">
        <f>+N9*0.15</f>
        <v>0</v>
      </c>
      <c r="P9" s="129">
        <f>+'1) costi totali + UE'!P9</f>
        <v>1.2317500000000001</v>
      </c>
      <c r="Q9" s="129">
        <f>+P9*0.15+0.004888</f>
        <v>0.18965050000000003</v>
      </c>
      <c r="R9" s="130">
        <f t="shared" si="0"/>
        <v>5.852</v>
      </c>
      <c r="S9" s="130">
        <f t="shared" si="0"/>
        <v>0.8780004799999999</v>
      </c>
      <c r="T9" s="48"/>
      <c r="U9" s="48"/>
    </row>
    <row r="10" spans="1:19" ht="12.75">
      <c r="A10" s="101">
        <v>3</v>
      </c>
      <c r="B10" s="98" t="s">
        <v>54</v>
      </c>
      <c r="C10" s="6" t="s">
        <v>16</v>
      </c>
      <c r="D10" s="128">
        <v>0.006696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f>+'1) costi totali + UE'!J10</f>
        <v>0</v>
      </c>
      <c r="K10" s="128">
        <v>0</v>
      </c>
      <c r="L10" s="128">
        <f>+'1) costi totali + UE'!L10</f>
        <v>0</v>
      </c>
      <c r="M10" s="128">
        <v>0</v>
      </c>
      <c r="N10" s="129">
        <f>+'1) costi totali + UE'!N10</f>
        <v>0</v>
      </c>
      <c r="O10" s="129">
        <v>0</v>
      </c>
      <c r="P10" s="129">
        <f>+'1) costi totali + UE'!P10</f>
        <v>-0.006696</v>
      </c>
      <c r="Q10" s="129">
        <v>0</v>
      </c>
      <c r="R10" s="130">
        <f t="shared" si="0"/>
        <v>0</v>
      </c>
      <c r="S10" s="130">
        <f t="shared" si="0"/>
        <v>0</v>
      </c>
    </row>
    <row r="11" spans="1:19" ht="12.75">
      <c r="A11" s="101">
        <v>4</v>
      </c>
      <c r="B11" s="98" t="s">
        <v>55</v>
      </c>
      <c r="C11" s="6" t="s">
        <v>17</v>
      </c>
      <c r="D11" s="128">
        <v>0.001786</v>
      </c>
      <c r="E11" s="128">
        <v>0</v>
      </c>
      <c r="F11" s="128">
        <v>0</v>
      </c>
      <c r="G11" s="128">
        <f>+F11*0.161</f>
        <v>0</v>
      </c>
      <c r="H11" s="128">
        <v>0</v>
      </c>
      <c r="I11" s="128">
        <v>0</v>
      </c>
      <c r="J11" s="128">
        <f>+'1) costi totali + UE'!J11</f>
        <v>0</v>
      </c>
      <c r="K11" s="128">
        <v>0</v>
      </c>
      <c r="L11" s="128">
        <f>+'1) costi totali + UE'!L11</f>
        <v>0</v>
      </c>
      <c r="M11" s="128">
        <f>+L11*0.161</f>
        <v>0</v>
      </c>
      <c r="N11" s="129">
        <f>+'1) costi totali + UE'!N11</f>
        <v>0</v>
      </c>
      <c r="O11" s="129">
        <f>+N11*0.161</f>
        <v>0</v>
      </c>
      <c r="P11" s="129">
        <f>+'1) costi totali + UE'!P11</f>
        <v>-0.001786</v>
      </c>
      <c r="Q11" s="129"/>
      <c r="R11" s="130">
        <f t="shared" si="0"/>
        <v>0</v>
      </c>
      <c r="S11" s="130">
        <f t="shared" si="0"/>
        <v>0</v>
      </c>
    </row>
    <row r="12" spans="1:20" s="4" customFormat="1" ht="45">
      <c r="A12" s="101" t="s">
        <v>21</v>
      </c>
      <c r="B12" s="98" t="s">
        <v>68</v>
      </c>
      <c r="C12" s="6" t="s">
        <v>39</v>
      </c>
      <c r="D12" s="128">
        <v>0.040179</v>
      </c>
      <c r="E12" s="128">
        <v>0</v>
      </c>
      <c r="F12" s="128">
        <v>1.778</v>
      </c>
      <c r="G12" s="128">
        <f aca="true" t="shared" si="1" ref="G12:O12">SUM(G13:G14)</f>
        <v>0.15460946</v>
      </c>
      <c r="H12" s="128">
        <f t="shared" si="1"/>
        <v>1.16</v>
      </c>
      <c r="I12" s="128">
        <f>SUM(I13:I14)</f>
        <v>0.11060484</v>
      </c>
      <c r="J12" s="128">
        <f>+'1) costi totali + UE'!J12</f>
        <v>3.0675499</v>
      </c>
      <c r="K12" s="128">
        <f t="shared" si="1"/>
        <v>0.31139360000000005</v>
      </c>
      <c r="L12" s="128">
        <f>+'1) costi totali + UE'!L12</f>
        <v>3.153</v>
      </c>
      <c r="M12" s="128">
        <f t="shared" si="1"/>
        <v>0.35127</v>
      </c>
      <c r="N12" s="129">
        <f>+'1) costi totali + UE'!N12</f>
        <v>6.95258</v>
      </c>
      <c r="O12" s="129">
        <f t="shared" si="1"/>
        <v>0.6780647999999999</v>
      </c>
      <c r="P12" s="129">
        <f>+'1) costi totali + UE'!P12</f>
        <v>2.6083569999999994</v>
      </c>
      <c r="Q12" s="129">
        <f>SUM(Q13:Q14)</f>
        <v>0.23205699999999999</v>
      </c>
      <c r="R12" s="130">
        <f>SUM(P12+N12+L12+J12+H12+F12+D12)</f>
        <v>18.759665899999995</v>
      </c>
      <c r="S12" s="130">
        <f aca="true" t="shared" si="2" ref="S12:S17">SUM(Q12+O12+M12+K12+I12+G12)</f>
        <v>1.8379997</v>
      </c>
      <c r="T12" s="44"/>
    </row>
    <row r="13" spans="1:21" s="4" customFormat="1" ht="12.75">
      <c r="A13" s="101" t="s">
        <v>22</v>
      </c>
      <c r="B13" s="98"/>
      <c r="C13" s="6" t="s">
        <v>24</v>
      </c>
      <c r="D13" s="128">
        <v>0.040179</v>
      </c>
      <c r="E13" s="128"/>
      <c r="F13" s="128">
        <v>1.778</v>
      </c>
      <c r="G13" s="128">
        <v>0.15460946</v>
      </c>
      <c r="H13" s="128">
        <v>1.115</v>
      </c>
      <c r="I13" s="128">
        <f>0.103+0.00017984</f>
        <v>0.10317984</v>
      </c>
      <c r="J13" s="128">
        <f>+'1) costi totali + UE'!J13</f>
        <v>2.71051034</v>
      </c>
      <c r="K13" s="128">
        <v>0.2524678</v>
      </c>
      <c r="L13" s="128">
        <f>+'1) costi totali + UE'!L13</f>
        <v>2.253</v>
      </c>
      <c r="M13" s="128">
        <v>0.20277</v>
      </c>
      <c r="N13" s="129">
        <f>+'1) costi totali + UE'!N13</f>
        <v>6.25462</v>
      </c>
      <c r="O13" s="129">
        <f>+N13*0.09</f>
        <v>0.5629158</v>
      </c>
      <c r="P13" s="129">
        <f>+'1) costi totali + UE'!P13</f>
        <v>2.6083569999999994</v>
      </c>
      <c r="Q13" s="129">
        <f>0.358743+0.008785+0.007982-0.05877-0.016767-0.067916</f>
        <v>0.23205699999999999</v>
      </c>
      <c r="R13" s="130">
        <f>SUM(P13+N13+L13+J13+H13+F13+D13)</f>
        <v>16.75966634</v>
      </c>
      <c r="S13" s="130">
        <f t="shared" si="2"/>
        <v>1.5079999</v>
      </c>
      <c r="T13" s="44"/>
      <c r="U13" s="44"/>
    </row>
    <row r="14" spans="1:21" s="4" customFormat="1" ht="33.75">
      <c r="A14" s="101" t="s">
        <v>23</v>
      </c>
      <c r="B14" s="98"/>
      <c r="C14" s="6" t="s">
        <v>40</v>
      </c>
      <c r="D14" s="128"/>
      <c r="E14" s="128"/>
      <c r="F14" s="128">
        <v>0</v>
      </c>
      <c r="G14" s="128">
        <v>0</v>
      </c>
      <c r="H14" s="128">
        <v>0.045</v>
      </c>
      <c r="I14" s="128">
        <f>+H14*0.165</f>
        <v>0.007425</v>
      </c>
      <c r="J14" s="128">
        <f>+'1) costi totali + UE'!J14</f>
        <v>0.35703956</v>
      </c>
      <c r="K14" s="128">
        <v>0.0589258</v>
      </c>
      <c r="L14" s="128">
        <f>+'1) costi totali + UE'!L14</f>
        <v>0.9</v>
      </c>
      <c r="M14" s="128">
        <f>+L14*0.165</f>
        <v>0.14850000000000002</v>
      </c>
      <c r="N14" s="129">
        <f>+'1) costi totali + UE'!N14</f>
        <v>0.6979599999999999</v>
      </c>
      <c r="O14" s="129">
        <f>0.1485+0.264-0.222644-0.074707</f>
        <v>0.11514899999999997</v>
      </c>
      <c r="P14" s="129">
        <f>+'1) costi totali + UE'!P14</f>
        <v>0</v>
      </c>
      <c r="Q14" s="129">
        <v>0</v>
      </c>
      <c r="R14" s="130">
        <f>SUM(P14+N14+L14+J14+H14+F14)</f>
        <v>1.99999956</v>
      </c>
      <c r="S14" s="130">
        <f t="shared" si="2"/>
        <v>0.32999980000000007</v>
      </c>
      <c r="T14" s="44"/>
      <c r="U14" s="44"/>
    </row>
    <row r="15" spans="1:20" ht="45">
      <c r="A15" s="101" t="s">
        <v>11</v>
      </c>
      <c r="B15" s="98" t="s">
        <v>56</v>
      </c>
      <c r="C15" s="6" t="s">
        <v>18</v>
      </c>
      <c r="D15" s="128">
        <v>0.1455</v>
      </c>
      <c r="E15" s="128">
        <v>0</v>
      </c>
      <c r="F15" s="128">
        <v>0.125</v>
      </c>
      <c r="G15" s="128">
        <f aca="true" t="shared" si="3" ref="G15:O15">SUM(G16:G17)</f>
        <v>0.013000000000000001</v>
      </c>
      <c r="H15" s="128">
        <f t="shared" si="3"/>
        <v>1.075</v>
      </c>
      <c r="I15" s="128">
        <f>SUM(I16:I17)</f>
        <v>0.08692499999999999</v>
      </c>
      <c r="J15" s="128">
        <f>+'1) costi totali + UE'!J15</f>
        <v>0.75144128</v>
      </c>
      <c r="K15" s="128">
        <f t="shared" si="3"/>
        <v>0.06134088</v>
      </c>
      <c r="L15" s="128">
        <f>+'1) costi totali + UE'!L15</f>
        <v>0.8999996666666666</v>
      </c>
      <c r="M15" s="128">
        <f t="shared" si="3"/>
        <v>0.08340600000000001</v>
      </c>
      <c r="N15" s="129">
        <f>+'1) costi totali + UE'!N15</f>
        <v>0.9</v>
      </c>
      <c r="O15" s="129">
        <f t="shared" si="3"/>
        <v>0.083594</v>
      </c>
      <c r="P15" s="129">
        <f>+'1) costi totali + UE'!P15</f>
        <v>1.173059</v>
      </c>
      <c r="Q15" s="129">
        <f>SUM(Q16:Q17)</f>
        <v>0.122785</v>
      </c>
      <c r="R15" s="130">
        <f>SUM(P15+N15+L15+J15+H15+F15+D15)</f>
        <v>5.069999946666667</v>
      </c>
      <c r="S15" s="130">
        <f t="shared" si="2"/>
        <v>0.45105088</v>
      </c>
      <c r="T15" s="48"/>
    </row>
    <row r="16" spans="1:21" ht="45">
      <c r="A16" s="101" t="s">
        <v>12</v>
      </c>
      <c r="B16" s="98"/>
      <c r="C16" s="6" t="s">
        <v>19</v>
      </c>
      <c r="D16" s="128">
        <v>0.1455</v>
      </c>
      <c r="E16" s="128"/>
      <c r="F16" s="128">
        <v>0.08</v>
      </c>
      <c r="G16" s="128">
        <f>+F16*0.075</f>
        <v>0.006</v>
      </c>
      <c r="H16" s="128">
        <v>1.005</v>
      </c>
      <c r="I16" s="128">
        <f>+H16*0.075</f>
        <v>0.07537499999999998</v>
      </c>
      <c r="J16" s="128">
        <f>+'1) costi totali + UE'!J16</f>
        <v>0.697651</v>
      </c>
      <c r="K16" s="128">
        <v>0.05246334</v>
      </c>
      <c r="L16" s="128">
        <f>+'1) costi totali + UE'!L16</f>
        <v>0.7166666666666667</v>
      </c>
      <c r="M16" s="128">
        <v>0.053156</v>
      </c>
      <c r="N16" s="129">
        <f>+'1) costi totali + UE'!N16</f>
        <v>0.716667</v>
      </c>
      <c r="O16" s="129">
        <v>0.053419</v>
      </c>
      <c r="P16" s="129">
        <f>+'1) costi totali + UE'!P16</f>
        <v>0.9385149999999999</v>
      </c>
      <c r="Q16" s="129">
        <f>0.082275+0.001312+0.001656+0.0006-0.002256</f>
        <v>0.08358700000000001</v>
      </c>
      <c r="R16" s="130">
        <f>SUM(P16+N16+L16+J16+H16+F16+D16)</f>
        <v>4.299999666666666</v>
      </c>
      <c r="S16" s="130">
        <f t="shared" si="2"/>
        <v>0.32400034</v>
      </c>
      <c r="T16" s="48"/>
      <c r="U16" s="48"/>
    </row>
    <row r="17" spans="1:21" ht="67.5">
      <c r="A17" s="101" t="s">
        <v>13</v>
      </c>
      <c r="B17" s="98"/>
      <c r="C17" s="6" t="s">
        <v>20</v>
      </c>
      <c r="D17" s="128"/>
      <c r="E17" s="128"/>
      <c r="F17" s="128">
        <v>0.045</v>
      </c>
      <c r="G17" s="128">
        <v>0.007</v>
      </c>
      <c r="H17" s="128">
        <v>0.07</v>
      </c>
      <c r="I17" s="128">
        <f>+H17*0.165</f>
        <v>0.011550000000000001</v>
      </c>
      <c r="J17" s="128">
        <f>+'1) costi totali + UE'!J17</f>
        <v>0.05379028</v>
      </c>
      <c r="K17" s="128">
        <v>0.00887754</v>
      </c>
      <c r="L17" s="128">
        <f>+'1) costi totali + UE'!L17</f>
        <v>0.183333</v>
      </c>
      <c r="M17" s="128">
        <v>0.03025</v>
      </c>
      <c r="N17" s="129">
        <f>+'1) costi totali + UE'!N17</f>
        <v>0.183333</v>
      </c>
      <c r="O17" s="129">
        <v>0.030175</v>
      </c>
      <c r="P17" s="129">
        <f>+'1) costi totali + UE'!P17</f>
        <v>0.2345440000000001</v>
      </c>
      <c r="Q17" s="129">
        <f>0.07083+0.011055+0.010262+0.022242+0.000748-0.007783-0.052949-0.015207</f>
        <v>0.039198000000000004</v>
      </c>
      <c r="R17" s="130">
        <f>SUM(P17+N17+L17+J17+H17+F17)</f>
        <v>0.7700002800000002</v>
      </c>
      <c r="S17" s="130">
        <f t="shared" si="2"/>
        <v>0.12705054000000002</v>
      </c>
      <c r="T17" s="48"/>
      <c r="U17" s="48"/>
    </row>
    <row r="18" spans="1:19" ht="33.75">
      <c r="A18" s="101"/>
      <c r="B18" s="98" t="s">
        <v>57</v>
      </c>
      <c r="C18" s="6" t="s">
        <v>7</v>
      </c>
      <c r="D18" s="128">
        <v>0.019107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f>+'1) costi totali + UE'!J18</f>
        <v>0</v>
      </c>
      <c r="K18" s="128">
        <v>0</v>
      </c>
      <c r="L18" s="128">
        <f>+'1) costi totali + UE'!L18</f>
        <v>0</v>
      </c>
      <c r="M18" s="128">
        <v>0</v>
      </c>
      <c r="N18" s="129">
        <f>+'1) costi totali + UE'!N18</f>
        <v>0</v>
      </c>
      <c r="O18" s="129">
        <v>0</v>
      </c>
      <c r="P18" s="129">
        <f>+'1) costi totali + UE'!P18</f>
        <v>-0.019107</v>
      </c>
      <c r="Q18" s="129">
        <v>0</v>
      </c>
      <c r="R18" s="130">
        <f aca="true" t="shared" si="4" ref="R18:S23">+P18+N18+L18+J18+H18+F18+D18</f>
        <v>0</v>
      </c>
      <c r="S18" s="130">
        <f t="shared" si="4"/>
        <v>0</v>
      </c>
    </row>
    <row r="19" spans="1:21" ht="33.75">
      <c r="A19" s="101">
        <v>6</v>
      </c>
      <c r="B19" s="98" t="s">
        <v>62</v>
      </c>
      <c r="C19" s="6" t="s">
        <v>25</v>
      </c>
      <c r="D19" s="128">
        <v>0.160714</v>
      </c>
      <c r="E19" s="128">
        <v>0</v>
      </c>
      <c r="F19" s="128">
        <v>13.915579933333333</v>
      </c>
      <c r="G19" s="128">
        <v>1.0436689</v>
      </c>
      <c r="H19" s="128">
        <v>14.258</v>
      </c>
      <c r="I19" s="128">
        <v>1.069377</v>
      </c>
      <c r="J19" s="128">
        <f>+'1) costi totali + UE'!J19</f>
        <v>22.348246666666668</v>
      </c>
      <c r="K19" s="128">
        <f>+J19*0.075</f>
        <v>1.6761185</v>
      </c>
      <c r="L19" s="128">
        <f>+'1) costi totali + UE'!L19</f>
        <v>10.1</v>
      </c>
      <c r="M19" s="128">
        <v>0.7575</v>
      </c>
      <c r="N19" s="129">
        <f>+'1) costi totali + UE'!N19</f>
        <v>3.643694</v>
      </c>
      <c r="O19" s="129">
        <f>0.565336-0.280507</f>
        <v>0.28482899999999994</v>
      </c>
      <c r="P19" s="129">
        <f>+'1) costi totali + UE'!P19</f>
        <v>6.025265</v>
      </c>
      <c r="Q19" s="129">
        <f>0.207068+0.280507</f>
        <v>0.487575</v>
      </c>
      <c r="R19" s="130">
        <f t="shared" si="4"/>
        <v>70.4514996</v>
      </c>
      <c r="S19" s="130">
        <f t="shared" si="4"/>
        <v>5.3190684</v>
      </c>
      <c r="T19" s="48"/>
      <c r="U19" s="48"/>
    </row>
    <row r="20" spans="1:20" ht="33.75">
      <c r="A20" s="101">
        <v>7</v>
      </c>
      <c r="B20" s="98" t="s">
        <v>63</v>
      </c>
      <c r="C20" s="6" t="s">
        <v>26</v>
      </c>
      <c r="D20" s="128">
        <v>0.004464</v>
      </c>
      <c r="E20" s="128">
        <v>0</v>
      </c>
      <c r="F20" s="128">
        <v>0</v>
      </c>
      <c r="G20" s="128">
        <v>0</v>
      </c>
      <c r="H20" s="128">
        <v>0</v>
      </c>
      <c r="I20" s="128">
        <f>+H20*0.151</f>
        <v>0</v>
      </c>
      <c r="J20" s="128">
        <f>+'1) costi totali + UE'!J20</f>
        <v>0</v>
      </c>
      <c r="K20" s="128">
        <f>+J20*0.151</f>
        <v>0</v>
      </c>
      <c r="L20" s="128">
        <f>+'1) costi totali + UE'!L20</f>
        <v>0</v>
      </c>
      <c r="M20" s="128">
        <f>+L20*0.151</f>
        <v>0</v>
      </c>
      <c r="N20" s="129">
        <f>+'1) costi totali + UE'!N20</f>
        <v>0</v>
      </c>
      <c r="O20" s="129">
        <f>+N20*0.151</f>
        <v>0</v>
      </c>
      <c r="P20" s="129">
        <f>+'1) costi totali + UE'!P20</f>
        <v>-0.004464</v>
      </c>
      <c r="Q20" s="129">
        <v>0</v>
      </c>
      <c r="R20" s="130">
        <f t="shared" si="4"/>
        <v>0</v>
      </c>
      <c r="S20" s="130">
        <f t="shared" si="4"/>
        <v>0</v>
      </c>
      <c r="T20" s="48"/>
    </row>
    <row r="21" spans="1:19" ht="12.75">
      <c r="A21" s="101">
        <v>8</v>
      </c>
      <c r="B21" s="98" t="s">
        <v>58</v>
      </c>
      <c r="C21" s="6" t="s">
        <v>27</v>
      </c>
      <c r="D21" s="128">
        <v>0.006696</v>
      </c>
      <c r="E21" s="128">
        <v>0</v>
      </c>
      <c r="F21" s="128">
        <v>0.075</v>
      </c>
      <c r="G21" s="128">
        <v>0.01124971</v>
      </c>
      <c r="H21" s="128">
        <v>0.135</v>
      </c>
      <c r="I21" s="128">
        <f>+H21*0.15</f>
        <v>0.02025</v>
      </c>
      <c r="J21" s="128">
        <f>+'1) costi totali + UE'!J21</f>
        <v>0.135</v>
      </c>
      <c r="K21" s="128">
        <v>0.02025</v>
      </c>
      <c r="L21" s="128">
        <f>+'1) costi totali + UE'!L21</f>
        <v>0.135</v>
      </c>
      <c r="M21" s="128">
        <v>0.02025</v>
      </c>
      <c r="N21" s="129">
        <f>+'1) costi totali + UE'!N21</f>
        <v>0.1355</v>
      </c>
      <c r="O21" s="129">
        <v>0.02025</v>
      </c>
      <c r="P21" s="129">
        <f>+'1) costi totali + UE'!P21</f>
        <v>0.127804</v>
      </c>
      <c r="Q21" s="129">
        <v>0.02075</v>
      </c>
      <c r="R21" s="130">
        <f t="shared" si="4"/>
        <v>0.75</v>
      </c>
      <c r="S21" s="130">
        <f t="shared" si="4"/>
        <v>0.11299971</v>
      </c>
    </row>
    <row r="22" spans="1:19" ht="45">
      <c r="A22" s="101">
        <v>9</v>
      </c>
      <c r="B22" s="98" t="s">
        <v>59</v>
      </c>
      <c r="C22" s="6" t="s">
        <v>28</v>
      </c>
      <c r="D22" s="128">
        <v>0.005357</v>
      </c>
      <c r="E22" s="128">
        <v>0</v>
      </c>
      <c r="F22" s="128">
        <v>0</v>
      </c>
      <c r="G22" s="128">
        <v>0</v>
      </c>
      <c r="H22" s="128">
        <v>0</v>
      </c>
      <c r="I22" s="128">
        <f>+H22*0.095</f>
        <v>0</v>
      </c>
      <c r="J22" s="128">
        <f>+'1) costi totali + UE'!J22</f>
        <v>0</v>
      </c>
      <c r="K22" s="128">
        <f>+J22*0.095</f>
        <v>0</v>
      </c>
      <c r="L22" s="128">
        <f>+'1) costi totali + UE'!L22</f>
        <v>0</v>
      </c>
      <c r="M22" s="128">
        <f>+L22*0.095</f>
        <v>0</v>
      </c>
      <c r="N22" s="129">
        <f>+'1) costi totali + UE'!N22</f>
        <v>0</v>
      </c>
      <c r="O22" s="129">
        <v>0</v>
      </c>
      <c r="P22" s="129">
        <f>+'1) costi totali + UE'!P22</f>
        <v>-0.005357</v>
      </c>
      <c r="Q22" s="129">
        <v>0</v>
      </c>
      <c r="R22" s="130">
        <f t="shared" si="4"/>
        <v>0</v>
      </c>
      <c r="S22" s="130">
        <f t="shared" si="4"/>
        <v>0</v>
      </c>
    </row>
    <row r="23" spans="1:19" ht="22.5">
      <c r="A23" s="101">
        <v>10</v>
      </c>
      <c r="B23" s="98" t="s">
        <v>64</v>
      </c>
      <c r="C23" s="6" t="s">
        <v>29</v>
      </c>
      <c r="D23" s="128">
        <v>0.005357</v>
      </c>
      <c r="E23" s="128">
        <v>0</v>
      </c>
      <c r="F23" s="128">
        <v>0</v>
      </c>
      <c r="G23" s="128">
        <v>0</v>
      </c>
      <c r="H23" s="128">
        <v>0</v>
      </c>
      <c r="I23" s="128">
        <f>+H23*0.151</f>
        <v>0</v>
      </c>
      <c r="J23" s="128">
        <f>+'1) costi totali + UE'!J23</f>
        <v>0</v>
      </c>
      <c r="K23" s="128">
        <f>+J23*0.151</f>
        <v>0</v>
      </c>
      <c r="L23" s="128">
        <f>+'1) costi totali + UE'!L23</f>
        <v>0</v>
      </c>
      <c r="M23" s="128">
        <f>+L23*0.151</f>
        <v>0</v>
      </c>
      <c r="N23" s="129">
        <f>+'1) costi totali + UE'!N23</f>
        <v>0</v>
      </c>
      <c r="O23" s="129">
        <f>+N23*0.151</f>
        <v>0</v>
      </c>
      <c r="P23" s="129">
        <f>+'1) costi totali + UE'!P23</f>
        <v>-0.005357</v>
      </c>
      <c r="Q23" s="129">
        <v>0</v>
      </c>
      <c r="R23" s="130">
        <f t="shared" si="4"/>
        <v>0</v>
      </c>
      <c r="S23" s="130">
        <f t="shared" si="4"/>
        <v>0</v>
      </c>
    </row>
    <row r="24" spans="1:21" ht="33.75">
      <c r="A24" s="101">
        <v>11</v>
      </c>
      <c r="B24" s="98" t="s">
        <v>65</v>
      </c>
      <c r="C24" s="6" t="s">
        <v>30</v>
      </c>
      <c r="D24" s="128">
        <v>0.064286</v>
      </c>
      <c r="E24" s="128">
        <v>0</v>
      </c>
      <c r="F24" s="128">
        <v>0</v>
      </c>
      <c r="G24" s="128">
        <f>+F24*0.151</f>
        <v>0</v>
      </c>
      <c r="H24" s="128">
        <v>0.998</v>
      </c>
      <c r="I24" s="128">
        <v>0.1506792</v>
      </c>
      <c r="J24" s="128">
        <f>+'1) costi totali + UE'!J24</f>
        <v>2.30450835</v>
      </c>
      <c r="K24" s="128">
        <v>0.34807294</v>
      </c>
      <c r="L24" s="128">
        <f>+'1) costi totali + UE'!L24</f>
        <v>2.491</v>
      </c>
      <c r="M24" s="128">
        <v>0.376141</v>
      </c>
      <c r="N24" s="129">
        <f>+'1) costi totali + UE'!N24</f>
        <v>4</v>
      </c>
      <c r="O24" s="129">
        <f>+N24*0.151</f>
        <v>0.604</v>
      </c>
      <c r="P24" s="129">
        <f>+'1) costi totali + UE'!P24</f>
        <v>2.2925840000000006</v>
      </c>
      <c r="Q24" s="129">
        <f>0.578855-0.134145+0.26527-0.101417-0.202681-0.001791-0.022785-0.013472-0.047663+0.036257</f>
        <v>0.3564280000000001</v>
      </c>
      <c r="R24" s="130">
        <f>+P24+N24+L24+J24+H24+F24+D24</f>
        <v>12.150378349999999</v>
      </c>
      <c r="S24" s="130">
        <f>+Q24+O24+M24+K24+I24+G24+E24+0.000679</f>
        <v>1.8360001400000001</v>
      </c>
      <c r="T24" s="48"/>
      <c r="U24" s="48"/>
    </row>
    <row r="25" spans="1:21" ht="22.5">
      <c r="A25" s="101">
        <v>12</v>
      </c>
      <c r="B25" s="98" t="s">
        <v>66</v>
      </c>
      <c r="C25" s="6" t="s">
        <v>31</v>
      </c>
      <c r="D25" s="128">
        <v>0.108179</v>
      </c>
      <c r="E25" s="128">
        <v>0</v>
      </c>
      <c r="F25" s="128">
        <v>2.76</v>
      </c>
      <c r="G25" s="128">
        <v>0.41704397</v>
      </c>
      <c r="H25" s="128">
        <v>1.791</v>
      </c>
      <c r="I25" s="128">
        <v>0.24904163</v>
      </c>
      <c r="J25" s="128">
        <f>+'1) costi totali + UE'!J25</f>
        <v>3.333611</v>
      </c>
      <c r="K25" s="128">
        <v>0.4965297</v>
      </c>
      <c r="L25" s="128">
        <f>+'1) costi totali + UE'!L25</f>
        <v>3.343</v>
      </c>
      <c r="M25" s="128">
        <v>0.397817</v>
      </c>
      <c r="N25" s="129">
        <f>+'1) costi totali + UE'!N25</f>
        <v>6.4</v>
      </c>
      <c r="O25" s="129">
        <f>+N25*0.119</f>
        <v>0.7616</v>
      </c>
      <c r="P25" s="129">
        <f>+'1) costi totali + UE'!P25</f>
        <v>5.66324</v>
      </c>
      <c r="Q25" s="129">
        <f>0.830453-0.164461+0.065273-0.204332-0.261683+0.120143-0.064965+0.14154</f>
        <v>0.4619680000000001</v>
      </c>
      <c r="R25" s="130">
        <f>+P25+N25+L25+J25+H25+F25+D25</f>
        <v>23.399030000000003</v>
      </c>
      <c r="S25" s="130">
        <f>+Q25+O25+M25+K25+I25+G25+E25</f>
        <v>2.7840002999999998</v>
      </c>
      <c r="T25" s="48"/>
      <c r="U25" s="48"/>
    </row>
    <row r="26" spans="1:20" s="4" customFormat="1" ht="12.75">
      <c r="A26" s="101">
        <v>13</v>
      </c>
      <c r="B26" s="98" t="s">
        <v>60</v>
      </c>
      <c r="C26" s="6" t="s">
        <v>32</v>
      </c>
      <c r="D26" s="134">
        <v>1.12625</v>
      </c>
      <c r="E26" s="128">
        <v>0</v>
      </c>
      <c r="F26" s="128">
        <f>11.3217522</f>
        <v>11.3217522</v>
      </c>
      <c r="G26" s="128">
        <v>0</v>
      </c>
      <c r="H26" s="128">
        <v>16.95335428</v>
      </c>
      <c r="I26" s="128">
        <v>0</v>
      </c>
      <c r="J26" s="128">
        <f>+'1) costi totali + UE'!J26</f>
        <v>16.1281301</v>
      </c>
      <c r="K26" s="128">
        <v>0</v>
      </c>
      <c r="L26" s="128">
        <f>+'1) costi totali + UE'!L26</f>
        <v>15.758418</v>
      </c>
      <c r="M26" s="128">
        <v>0</v>
      </c>
      <c r="N26" s="129">
        <f>+'1) costi totali + UE'!N26</f>
        <v>17.757176</v>
      </c>
      <c r="O26" s="129">
        <v>0</v>
      </c>
      <c r="P26" s="129">
        <f>+'1) costi totali + UE'!P26</f>
        <v>12.130420999999998</v>
      </c>
      <c r="Q26" s="129">
        <v>0</v>
      </c>
      <c r="R26" s="130">
        <f>P26+N26+L26+J26+H26+F26+D26</f>
        <v>91.17550158</v>
      </c>
      <c r="S26" s="130">
        <f>Q26+O26+M26+K26+I26+G26+E26</f>
        <v>0</v>
      </c>
      <c r="T26" s="5"/>
    </row>
    <row r="27" spans="1:22" s="4" customFormat="1" ht="12.75">
      <c r="A27" s="101"/>
      <c r="B27" s="98"/>
      <c r="C27" s="6" t="s">
        <v>5</v>
      </c>
      <c r="D27" s="134">
        <v>31.3082581</v>
      </c>
      <c r="E27" s="128">
        <v>0</v>
      </c>
      <c r="F27" s="128">
        <f>2.0217454+0.003332</f>
        <v>2.0250774</v>
      </c>
      <c r="G27" s="128">
        <v>0</v>
      </c>
      <c r="H27" s="128">
        <v>0.75170132</v>
      </c>
      <c r="I27" s="128">
        <v>0</v>
      </c>
      <c r="J27" s="128">
        <f>+'1) costi totali + UE'!J27</f>
        <v>0.87946014</v>
      </c>
      <c r="K27" s="128">
        <v>0</v>
      </c>
      <c r="L27" s="128">
        <f>+'1) costi totali + UE'!L27</f>
        <v>0</v>
      </c>
      <c r="M27" s="128">
        <v>0</v>
      </c>
      <c r="N27" s="129">
        <f>+'1) costi totali + UE'!N27</f>
        <v>0</v>
      </c>
      <c r="O27" s="129">
        <v>0</v>
      </c>
      <c r="P27" s="129">
        <f>+'1) costi totali + UE'!P27</f>
        <v>0</v>
      </c>
      <c r="Q27" s="129">
        <v>0</v>
      </c>
      <c r="R27" s="130">
        <f>P27+N27+L27+J27+H27+F27+D27</f>
        <v>34.96449696</v>
      </c>
      <c r="S27" s="130">
        <f>Q27+O27+M27+K27+I27+G27+E27</f>
        <v>0</v>
      </c>
      <c r="T27" s="5"/>
      <c r="U27" s="5"/>
      <c r="V27" s="5"/>
    </row>
    <row r="28" spans="1:19" ht="33.75">
      <c r="A28" s="101">
        <v>14</v>
      </c>
      <c r="B28" s="98" t="s">
        <v>61</v>
      </c>
      <c r="C28" s="6" t="s">
        <v>33</v>
      </c>
      <c r="D28" s="128">
        <v>0.271072</v>
      </c>
      <c r="E28" s="128">
        <v>0</v>
      </c>
      <c r="F28" s="128">
        <v>3.945877</v>
      </c>
      <c r="G28" s="128">
        <v>0</v>
      </c>
      <c r="H28" s="128">
        <v>6.53143032</v>
      </c>
      <c r="I28" s="128">
        <v>0</v>
      </c>
      <c r="J28" s="128">
        <f>+'1) costi totali + UE'!J28</f>
        <v>7.7910946</v>
      </c>
      <c r="K28" s="128">
        <v>0</v>
      </c>
      <c r="L28" s="128">
        <f>+'1) costi totali + UE'!L28</f>
        <v>7.558359</v>
      </c>
      <c r="M28" s="128">
        <v>0</v>
      </c>
      <c r="N28" s="129">
        <f>+'1) costi totali + UE'!N28</f>
        <v>3.7480500000000005</v>
      </c>
      <c r="O28" s="129">
        <v>0</v>
      </c>
      <c r="P28" s="129">
        <f>+'1) costi totali + UE'!P28</f>
        <v>0.472717</v>
      </c>
      <c r="Q28" s="129">
        <v>0</v>
      </c>
      <c r="R28" s="130">
        <f>SUM(D28+F28+H28+J28+L28+N28+P28)</f>
        <v>30.318599919999997</v>
      </c>
      <c r="S28" s="129">
        <f>SUM(E28+G28+I28+K28+M28+O28+Q28)</f>
        <v>0</v>
      </c>
    </row>
    <row r="29" spans="1:19" ht="56.25">
      <c r="A29" s="101" t="s">
        <v>8</v>
      </c>
      <c r="B29" s="98" t="s">
        <v>67</v>
      </c>
      <c r="C29" s="6" t="s">
        <v>34</v>
      </c>
      <c r="D29" s="128">
        <v>0.004357</v>
      </c>
      <c r="E29" s="128">
        <v>0</v>
      </c>
      <c r="F29" s="128">
        <v>0</v>
      </c>
      <c r="G29" s="128">
        <v>0</v>
      </c>
      <c r="H29" s="128">
        <v>0</v>
      </c>
      <c r="I29" s="128">
        <f>+H29*0.095</f>
        <v>0</v>
      </c>
      <c r="J29" s="128">
        <f>+'1) costi totali + UE'!J29</f>
        <v>0</v>
      </c>
      <c r="K29" s="128">
        <f>+J29*0.095</f>
        <v>0</v>
      </c>
      <c r="L29" s="128">
        <f>+'1) costi totali + UE'!L29</f>
        <v>0</v>
      </c>
      <c r="M29" s="128">
        <f>+L29*0.095</f>
        <v>0</v>
      </c>
      <c r="N29" s="129">
        <f>+'1) costi totali + UE'!N29</f>
        <v>0</v>
      </c>
      <c r="O29" s="129">
        <f>+N29*0.095</f>
        <v>0</v>
      </c>
      <c r="P29" s="129">
        <f>+'1) costi totali + UE'!P29</f>
        <v>-0.004357</v>
      </c>
      <c r="Q29" s="129">
        <v>0</v>
      </c>
      <c r="R29" s="130">
        <f>+P29+N29+L29+J29+H29+F29+D29</f>
        <v>0</v>
      </c>
      <c r="S29" s="130">
        <f>+Q29+O29+M29+K29+I29+G29+E29</f>
        <v>0</v>
      </c>
    </row>
    <row r="30" spans="1:21" ht="45">
      <c r="A30" s="101" t="s">
        <v>36</v>
      </c>
      <c r="B30" s="98" t="s">
        <v>56</v>
      </c>
      <c r="C30" s="6" t="s">
        <v>35</v>
      </c>
      <c r="D30" s="128">
        <f>SUM(D31:D32)</f>
        <v>0</v>
      </c>
      <c r="E30" s="128">
        <f aca="true" t="shared" si="5" ref="E30:O30">SUM(E31:E32)</f>
        <v>0</v>
      </c>
      <c r="F30" s="128">
        <v>2.9090457499999998</v>
      </c>
      <c r="G30" s="128">
        <f t="shared" si="5"/>
        <v>0.209834</v>
      </c>
      <c r="H30" s="128">
        <f t="shared" si="5"/>
        <v>5.552014</v>
      </c>
      <c r="I30" s="128">
        <f t="shared" si="5"/>
        <v>0.49632600799999993</v>
      </c>
      <c r="J30" s="128">
        <f>+'1) costi totali + UE'!J30</f>
        <v>8.93057134</v>
      </c>
      <c r="K30" s="128">
        <f t="shared" si="5"/>
        <v>0.9656697000000001</v>
      </c>
      <c r="L30" s="128">
        <f>+'1) costi totali + UE'!L30</f>
        <v>5.348</v>
      </c>
      <c r="M30" s="128">
        <f t="shared" si="5"/>
        <v>0.578958</v>
      </c>
      <c r="N30" s="129">
        <f>+'1) costi totali + UE'!N30</f>
        <v>5.964476</v>
      </c>
      <c r="O30" s="129">
        <f t="shared" si="5"/>
        <v>0.851523</v>
      </c>
      <c r="P30" s="129">
        <f>+'1) costi totali + UE'!P30</f>
        <v>8.148321</v>
      </c>
      <c r="Q30" s="129">
        <f>SUM(Q31:Q32)</f>
        <v>1.0411912</v>
      </c>
      <c r="R30" s="130">
        <f aca="true" t="shared" si="6" ref="R30:S32">+P30+N30+L30+J30+H30+F30+D30</f>
        <v>36.85242809</v>
      </c>
      <c r="S30" s="130">
        <f>+Q30+O30+M30+K30+I30+G30+E30</f>
        <v>4.143501908</v>
      </c>
      <c r="T30" s="48"/>
      <c r="U30" s="7"/>
    </row>
    <row r="31" spans="1:21" s="4" customFormat="1" ht="45">
      <c r="A31" s="101" t="s">
        <v>9</v>
      </c>
      <c r="B31" s="98"/>
      <c r="C31" s="6" t="s">
        <v>38</v>
      </c>
      <c r="D31" s="128"/>
      <c r="E31" s="128"/>
      <c r="F31" s="128">
        <v>0</v>
      </c>
      <c r="G31" s="128">
        <f>+F31*0.166</f>
        <v>0</v>
      </c>
      <c r="H31" s="128">
        <v>1.011</v>
      </c>
      <c r="I31" s="128">
        <f>+H31*0.167</f>
        <v>0.168837</v>
      </c>
      <c r="J31" s="128">
        <f>+'1) costi totali + UE'!J31</f>
        <v>3.42534584</v>
      </c>
      <c r="K31" s="128">
        <v>0.56929346</v>
      </c>
      <c r="L31" s="128">
        <f>+'1) costi totali + UE'!L31</f>
        <v>2.051606</v>
      </c>
      <c r="M31" s="128">
        <v>0.341618</v>
      </c>
      <c r="N31" s="129">
        <f>+'1) costi totali + UE'!N31</f>
        <v>4.5</v>
      </c>
      <c r="O31" s="129">
        <f>+N31*0.166</f>
        <v>0.747</v>
      </c>
      <c r="P31" s="129">
        <f>+'1) costi totali + UE'!P31</f>
        <v>4.864476</v>
      </c>
      <c r="Q31" s="129">
        <f>0.939029-0.25476-0.002059-0.205151-0.048252-0.019833+0.456503-0.171458+0.0035-0.083-0.083+0.273235</f>
        <v>0.8047540000000001</v>
      </c>
      <c r="R31" s="130">
        <f t="shared" si="6"/>
        <v>15.852427839999999</v>
      </c>
      <c r="S31" s="130">
        <f t="shared" si="6"/>
        <v>2.63150246</v>
      </c>
      <c r="T31" s="44"/>
      <c r="U31" s="44"/>
    </row>
    <row r="32" spans="1:21" s="4" customFormat="1" ht="22.5">
      <c r="A32" s="101" t="s">
        <v>10</v>
      </c>
      <c r="B32" s="98"/>
      <c r="C32" s="6" t="s">
        <v>37</v>
      </c>
      <c r="D32" s="128"/>
      <c r="E32" s="128"/>
      <c r="F32" s="128">
        <v>2.9090457499999998</v>
      </c>
      <c r="G32" s="128">
        <v>0.209834</v>
      </c>
      <c r="H32" s="128">
        <v>4.541014</v>
      </c>
      <c r="I32" s="128">
        <f>+H32*0.072+0.000536</f>
        <v>0.3274890079999999</v>
      </c>
      <c r="J32" s="128">
        <f>+'1) costi totali + UE'!J32</f>
        <v>5.5052255</v>
      </c>
      <c r="K32" s="128">
        <v>0.39637624</v>
      </c>
      <c r="L32" s="128">
        <f>+'1) costi totali + UE'!L32</f>
        <v>3.296394</v>
      </c>
      <c r="M32" s="128">
        <v>0.23734</v>
      </c>
      <c r="N32" s="129">
        <f>+'1) costi totali + UE'!N32</f>
        <v>1.464476</v>
      </c>
      <c r="O32" s="129">
        <f>0.286755-0.15286-0.029372</f>
        <v>0.10452299999999999</v>
      </c>
      <c r="P32" s="129">
        <f>+'1) costi totali + UE'!P32</f>
        <v>3.283845</v>
      </c>
      <c r="Q32" s="129">
        <v>0.2364372</v>
      </c>
      <c r="R32" s="130">
        <f t="shared" si="6"/>
        <v>21.00000025</v>
      </c>
      <c r="S32" s="130">
        <f t="shared" si="6"/>
        <v>1.5119994479999999</v>
      </c>
      <c r="T32" s="51"/>
      <c r="U32" s="51"/>
    </row>
    <row r="33" spans="1:21" s="4" customFormat="1" ht="12.75">
      <c r="A33" s="98"/>
      <c r="B33" s="98"/>
      <c r="C33" s="34" t="s">
        <v>49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129"/>
      <c r="P33" s="129"/>
      <c r="Q33" s="129"/>
      <c r="R33" s="129"/>
      <c r="S33" s="129">
        <f>+Q33+O33+M33+K33+I33+G33+E33</f>
        <v>0</v>
      </c>
      <c r="U33" s="44"/>
    </row>
    <row r="34" spans="1:20" s="3" customFormat="1" ht="12.75">
      <c r="A34" s="102"/>
      <c r="B34" s="98"/>
      <c r="C34" s="35" t="s">
        <v>4</v>
      </c>
      <c r="D34" s="128">
        <f>SUM(D33+D30+D29+D28+D27+D26+D25+D24+D23+D22+D21+D20+D19+D18+D15+D12+D11+D10+D9+D8)</f>
        <v>33.42736509999999</v>
      </c>
      <c r="E34" s="128">
        <f>SUM(E30+E29+E28+E27+E26+E25+E24+E23+E22+E21+E20+E19+E18+E15+E12+E11+E10+E9+E8)</f>
        <v>0</v>
      </c>
      <c r="F34" s="128">
        <f>SUM(F30+F29+F28+F27+F26+F25+F24+F23+F22+F21+F20+F19+F18+F15+F12+F11+F10+F9+F8)</f>
        <v>43.73933228333333</v>
      </c>
      <c r="G34" s="128">
        <f>+G32+G31+G29+G28+G27+G26+G25+G24+G23+G22+G21+G20+G19+G18+G17+G16+G14+G13+G11+G10+G9+G8</f>
        <v>2.34244763</v>
      </c>
      <c r="H34" s="128">
        <f>SUM(H30+H29+H28+H27+H26+H25+H24+H23+H22+H21+H20+H19+H18+H15+H12+H11+H10+H9+H8)</f>
        <v>56.62599992</v>
      </c>
      <c r="I34" s="128">
        <f>+I32+I31+I29+I28+I27+I26+I25+I24+I23+I22+I21+I20+I19+I18+I17+I16+I14+I13+I11+I10+I9+I8</f>
        <v>2.961874368</v>
      </c>
      <c r="J34" s="128">
        <f>SUM(J30+J29+J28+J27+J26+J25+J24+J23+J22+J21+J20+J19+J18+J15+J12+J11+J10+J9+J8)</f>
        <v>76.60005099666667</v>
      </c>
      <c r="K34" s="128">
        <f>+K32+K31+K29+K28+K27+K26+K25+K24+K23+K22+K21+K20+K19+K18+K17+K16+K14+K13+K11+K10+K9+K8</f>
        <v>4.889546920000001</v>
      </c>
      <c r="L34" s="128">
        <f aca="true" t="shared" si="7" ref="L34:Q34">SUM(L30+L29+L28+L27+L26+L25+L24+L23+L22+L21+L20+L19+L18+L15+L12+L11+L10+L9+L8)</f>
        <v>59.10577666666667</v>
      </c>
      <c r="M34" s="128">
        <f>SUM(M30+M29+M28+M27+M26+M25+M24+M23+M22+M21+M20+M19+M18+M15+M12+M11+M10+M9+M8)</f>
        <v>3.578892</v>
      </c>
      <c r="N34" s="130">
        <f t="shared" si="7"/>
        <v>57.001476000000004</v>
      </c>
      <c r="O34" s="130">
        <f t="shared" si="7"/>
        <v>3.9588607999999996</v>
      </c>
      <c r="P34" s="130">
        <f>SUM(P30+P29+P28+P27+P26+P25+P24+P23+P22+P21+P20+P19+P18+P15+P12+P11+P10+P9+P8)</f>
        <v>41.443933</v>
      </c>
      <c r="Q34" s="130">
        <f t="shared" si="7"/>
        <v>3.0683207000000006</v>
      </c>
      <c r="R34" s="130">
        <f>SUM(D34+F34+H34+J34+L34+N34+P34)</f>
        <v>367.9439339666667</v>
      </c>
      <c r="S34" s="130">
        <f>SUM(E34+G34+I34+K34+M34+O34+Q34)-0.000001+0.0003</f>
        <v>20.800241418</v>
      </c>
      <c r="T34" s="44"/>
    </row>
    <row r="35" spans="2:19" ht="12.75">
      <c r="B35" s="1"/>
      <c r="C35" s="40"/>
      <c r="D35" s="12"/>
      <c r="E35" s="12"/>
      <c r="F35" s="10"/>
      <c r="G35" s="20"/>
      <c r="H35" s="10"/>
      <c r="I35" s="10"/>
      <c r="J35" s="10"/>
      <c r="K35" s="46"/>
      <c r="L35" s="17"/>
      <c r="M35" s="84"/>
      <c r="N35" s="10"/>
      <c r="O35" s="46"/>
      <c r="P35" s="10"/>
      <c r="Q35" s="46"/>
      <c r="R35" s="10"/>
      <c r="S35" s="46"/>
    </row>
    <row r="36" spans="2:19" ht="12.75">
      <c r="B36" s="31"/>
      <c r="G36" s="45"/>
      <c r="K36" s="44"/>
      <c r="P36" s="44"/>
      <c r="S36" s="44"/>
    </row>
    <row r="37" spans="2:11" ht="12.75">
      <c r="B37" s="32"/>
      <c r="C37" s="39"/>
      <c r="I37" s="44"/>
      <c r="K37" s="44"/>
    </row>
    <row r="38" ht="12" customHeight="1">
      <c r="B38" s="33"/>
    </row>
    <row r="39" ht="12.75">
      <c r="I39" s="44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2000-2006&amp;Rmodifica 11/2004
anticipi 12,5%
misure forestali
misura 6</oddHeader>
    <oddFooter>&amp;L&amp;P
&amp;N&amp;C&amp;"Arial Narrow,Normale"&amp;10&amp;F&amp;R&amp;A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32"/>
    <pageSetUpPr fitToPage="1"/>
  </sheetPr>
  <dimension ref="A1:AO41"/>
  <sheetViews>
    <sheetView showGridLines="0" showZeros="0" workbookViewId="0" topLeftCell="A5">
      <pane xSplit="3" ySplit="3" topLeftCell="J25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140625" defaultRowHeight="12"/>
  <cols>
    <col min="1" max="1" width="6.8515625" style="1" customWidth="1"/>
    <col min="2" max="2" width="8.57421875" style="2" bestFit="1" customWidth="1"/>
    <col min="3" max="3" width="30.00390625" style="1" customWidth="1"/>
    <col min="4" max="5" width="11.7109375" style="11" customWidth="1"/>
    <col min="6" max="6" width="11.7109375" style="4" customWidth="1"/>
    <col min="7" max="7" width="11.7109375" style="9" customWidth="1"/>
    <col min="8" max="11" width="11.7109375" style="4" customWidth="1"/>
    <col min="12" max="13" width="11.7109375" style="16" customWidth="1"/>
    <col min="14" max="19" width="11.7109375" style="4" customWidth="1"/>
    <col min="20" max="20" width="11.140625" style="4" bestFit="1" customWidth="1"/>
    <col min="21" max="21" width="10.140625" style="4" bestFit="1" customWidth="1"/>
    <col min="22" max="41" width="9.140625" style="4" customWidth="1"/>
    <col min="42" max="16384" width="9.140625" style="1" customWidth="1"/>
  </cols>
  <sheetData>
    <row r="1" spans="1:2" ht="12.75">
      <c r="A1" s="3" t="s">
        <v>44</v>
      </c>
      <c r="B1" s="22"/>
    </row>
    <row r="2" spans="1:2" ht="12.75">
      <c r="A2" s="3"/>
      <c r="B2" s="22"/>
    </row>
    <row r="3" spans="1:10" ht="12.75">
      <c r="A3" s="23" t="s">
        <v>48</v>
      </c>
      <c r="B3" s="30"/>
      <c r="J3" s="44"/>
    </row>
    <row r="5" spans="1:41" s="22" customFormat="1" ht="12.75">
      <c r="A5" s="99"/>
      <c r="B5" s="90"/>
      <c r="C5" s="91"/>
      <c r="D5" s="162" t="s">
        <v>6</v>
      </c>
      <c r="E5" s="162"/>
      <c r="F5" s="161" t="s">
        <v>6</v>
      </c>
      <c r="G5" s="162"/>
      <c r="H5" s="161" t="s">
        <v>6</v>
      </c>
      <c r="I5" s="162"/>
      <c r="J5" s="161" t="s">
        <v>6</v>
      </c>
      <c r="K5" s="162"/>
      <c r="L5" s="161" t="s">
        <v>6</v>
      </c>
      <c r="M5" s="162"/>
      <c r="N5" s="163" t="s">
        <v>6</v>
      </c>
      <c r="O5" s="164"/>
      <c r="P5" s="163" t="s">
        <v>6</v>
      </c>
      <c r="Q5" s="165"/>
      <c r="R5" s="164" t="s">
        <v>1</v>
      </c>
      <c r="S5" s="165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s="2" customFormat="1" ht="12.75">
      <c r="A6" s="92" t="s">
        <v>69</v>
      </c>
      <c r="B6" s="92" t="s">
        <v>71</v>
      </c>
      <c r="C6" s="93" t="s">
        <v>0</v>
      </c>
      <c r="D6" s="155">
        <v>2000</v>
      </c>
      <c r="E6" s="155"/>
      <c r="F6" s="159">
        <v>2001</v>
      </c>
      <c r="G6" s="160"/>
      <c r="H6" s="155">
        <v>2002</v>
      </c>
      <c r="I6" s="155"/>
      <c r="J6" s="159">
        <v>2003</v>
      </c>
      <c r="K6" s="160"/>
      <c r="L6" s="155">
        <v>2004</v>
      </c>
      <c r="M6" s="155"/>
      <c r="N6" s="156">
        <v>2005</v>
      </c>
      <c r="O6" s="157"/>
      <c r="P6" s="156">
        <v>2006</v>
      </c>
      <c r="Q6" s="157"/>
      <c r="R6" s="158"/>
      <c r="S6" s="15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19" ht="25.5">
      <c r="A7" s="94" t="s">
        <v>70</v>
      </c>
      <c r="B7" s="94" t="s">
        <v>79</v>
      </c>
      <c r="C7" s="95"/>
      <c r="D7" s="13" t="s">
        <v>2</v>
      </c>
      <c r="E7" s="13" t="s">
        <v>43</v>
      </c>
      <c r="F7" s="13" t="s">
        <v>2</v>
      </c>
      <c r="G7" s="13" t="s">
        <v>43</v>
      </c>
      <c r="H7" s="13" t="s">
        <v>2</v>
      </c>
      <c r="I7" s="13" t="s">
        <v>43</v>
      </c>
      <c r="J7" s="13" t="s">
        <v>2</v>
      </c>
      <c r="K7" s="13" t="s">
        <v>43</v>
      </c>
      <c r="L7" s="13" t="s">
        <v>2</v>
      </c>
      <c r="M7" s="13" t="s">
        <v>43</v>
      </c>
      <c r="N7" s="96" t="s">
        <v>2</v>
      </c>
      <c r="O7" s="96" t="s">
        <v>43</v>
      </c>
      <c r="P7" s="96" t="s">
        <v>2</v>
      </c>
      <c r="Q7" s="96" t="s">
        <v>43</v>
      </c>
      <c r="R7" s="96" t="s">
        <v>2</v>
      </c>
      <c r="S7" s="96" t="s">
        <v>43</v>
      </c>
    </row>
    <row r="8" spans="1:21" s="4" customFormat="1" ht="22.5">
      <c r="A8" s="98">
        <v>1</v>
      </c>
      <c r="B8" s="98" t="s">
        <v>52</v>
      </c>
      <c r="C8" s="6" t="s">
        <v>14</v>
      </c>
      <c r="D8" s="128">
        <v>0.117857</v>
      </c>
      <c r="E8" s="128">
        <v>0</v>
      </c>
      <c r="F8" s="128">
        <f>4.366-0.057</f>
        <v>4.308999999999999</v>
      </c>
      <c r="G8" s="128">
        <f>0.9492482</f>
        <v>0.9492482</v>
      </c>
      <c r="H8" s="128">
        <v>5.923</v>
      </c>
      <c r="I8" s="128">
        <v>1.29286565</v>
      </c>
      <c r="J8" s="128">
        <f>+'1) costi totali + UE'!J8</f>
        <v>9.82793762</v>
      </c>
      <c r="K8" s="128">
        <v>1.971333</v>
      </c>
      <c r="L8" s="128">
        <f>+'1) costi totali + UE'!L8</f>
        <v>8.905</v>
      </c>
      <c r="M8" s="128">
        <v>1.87005</v>
      </c>
      <c r="N8" s="129">
        <f>+'1) costi totali + UE'!N8</f>
        <v>7.5</v>
      </c>
      <c r="O8" s="129">
        <f>+N8*0.21</f>
        <v>1.575</v>
      </c>
      <c r="P8" s="129">
        <f>+'1) costi totali + UE'!P8</f>
        <v>1.6175389999999996</v>
      </c>
      <c r="Q8" s="129">
        <f>0.164277+0.520857-0.233943-0.244981+0.157293</f>
        <v>0.363503</v>
      </c>
      <c r="R8" s="130">
        <f aca="true" t="shared" si="0" ref="R8:S11">+P8+N8+L8+J8+H8+F8+D8</f>
        <v>38.200333619999995</v>
      </c>
      <c r="S8" s="130">
        <f t="shared" si="0"/>
        <v>8.021999849999998</v>
      </c>
      <c r="T8" s="44"/>
      <c r="U8" s="44"/>
    </row>
    <row r="9" spans="1:21" ht="22.5">
      <c r="A9" s="98">
        <v>2</v>
      </c>
      <c r="B9" s="98" t="s">
        <v>53</v>
      </c>
      <c r="C9" s="6" t="s">
        <v>15</v>
      </c>
      <c r="D9" s="128">
        <v>0.03125</v>
      </c>
      <c r="E9" s="128">
        <v>0</v>
      </c>
      <c r="F9" s="128">
        <v>0.575</v>
      </c>
      <c r="G9" s="128">
        <v>0.20124998</v>
      </c>
      <c r="H9" s="128">
        <v>1.4975</v>
      </c>
      <c r="I9" s="128">
        <v>0.524125</v>
      </c>
      <c r="J9" s="128">
        <f>+'1) costi totali + UE'!J9</f>
        <v>1.1025</v>
      </c>
      <c r="K9" s="128">
        <f>+J9*0.35</f>
        <v>0.38587499999999997</v>
      </c>
      <c r="L9" s="128">
        <f>+'1) costi totali + UE'!L9</f>
        <v>1.414</v>
      </c>
      <c r="M9" s="128">
        <f>+L9*0.35</f>
        <v>0.49489999999999995</v>
      </c>
      <c r="N9" s="129">
        <f>+'1) costi totali + UE'!N9</f>
        <v>0</v>
      </c>
      <c r="O9" s="129">
        <f>+N9*0.35</f>
        <v>0</v>
      </c>
      <c r="P9" s="129">
        <f>+'1) costi totali + UE'!P9</f>
        <v>1.2317500000000001</v>
      </c>
      <c r="Q9" s="129">
        <f>+P9*0.35+0.010738</f>
        <v>0.44185050000000003</v>
      </c>
      <c r="R9" s="130">
        <f t="shared" si="0"/>
        <v>5.852</v>
      </c>
      <c r="S9" s="130">
        <f>+Q9+O9+M9+K9+I9+G9+E9</f>
        <v>2.04800048</v>
      </c>
      <c r="T9" s="44"/>
      <c r="U9" s="44"/>
    </row>
    <row r="10" spans="1:20" ht="12.75">
      <c r="A10" s="98">
        <v>3</v>
      </c>
      <c r="B10" s="98" t="s">
        <v>54</v>
      </c>
      <c r="C10" s="6" t="s">
        <v>16</v>
      </c>
      <c r="D10" s="128">
        <v>0.006696</v>
      </c>
      <c r="E10" s="128">
        <v>0</v>
      </c>
      <c r="F10" s="128">
        <v>0</v>
      </c>
      <c r="G10" s="128">
        <v>0</v>
      </c>
      <c r="H10" s="128">
        <v>0</v>
      </c>
      <c r="I10" s="128">
        <f>+H10*0.5</f>
        <v>0</v>
      </c>
      <c r="J10" s="128">
        <f>+'1) costi totali + UE'!J10</f>
        <v>0</v>
      </c>
      <c r="K10" s="128">
        <f>+J10*0.5</f>
        <v>0</v>
      </c>
      <c r="L10" s="128">
        <f>+'1) costi totali + UE'!L10</f>
        <v>0</v>
      </c>
      <c r="M10" s="128">
        <f>+L10*0.5</f>
        <v>0</v>
      </c>
      <c r="N10" s="129">
        <f>+'1) costi totali + UE'!N10</f>
        <v>0</v>
      </c>
      <c r="O10" s="129">
        <f>+N10*0.5</f>
        <v>0</v>
      </c>
      <c r="P10" s="129">
        <f>+'1) costi totali + UE'!P10</f>
        <v>-0.006696</v>
      </c>
      <c r="Q10" s="129">
        <v>0</v>
      </c>
      <c r="R10" s="130">
        <f t="shared" si="0"/>
        <v>0</v>
      </c>
      <c r="S10" s="130">
        <f t="shared" si="0"/>
        <v>0</v>
      </c>
      <c r="T10" s="44"/>
    </row>
    <row r="11" spans="1:20" ht="12.75">
      <c r="A11" s="98">
        <v>4</v>
      </c>
      <c r="B11" s="98" t="s">
        <v>55</v>
      </c>
      <c r="C11" s="6" t="s">
        <v>17</v>
      </c>
      <c r="D11" s="128">
        <v>0.001786</v>
      </c>
      <c r="E11" s="128">
        <v>0</v>
      </c>
      <c r="F11" s="128">
        <v>0</v>
      </c>
      <c r="G11" s="128">
        <f>+F11*0.375</f>
        <v>0</v>
      </c>
      <c r="H11" s="128">
        <v>0</v>
      </c>
      <c r="I11" s="128">
        <f>+H11*0.375</f>
        <v>0</v>
      </c>
      <c r="J11" s="128">
        <f>+'1) costi totali + UE'!J11</f>
        <v>0</v>
      </c>
      <c r="K11" s="128">
        <f>+J11*0.375</f>
        <v>0</v>
      </c>
      <c r="L11" s="128">
        <f>+'1) costi totali + UE'!L11</f>
        <v>0</v>
      </c>
      <c r="M11" s="128">
        <f>+L11*0.375</f>
        <v>0</v>
      </c>
      <c r="N11" s="129">
        <f>+'1) costi totali + UE'!N11</f>
        <v>0</v>
      </c>
      <c r="O11" s="129">
        <f>+N11*0.375</f>
        <v>0</v>
      </c>
      <c r="P11" s="129">
        <f>+'1) costi totali + UE'!P11</f>
        <v>-0.001786</v>
      </c>
      <c r="Q11" s="129">
        <v>0</v>
      </c>
      <c r="R11" s="130">
        <f t="shared" si="0"/>
        <v>0</v>
      </c>
      <c r="S11" s="130">
        <f t="shared" si="0"/>
        <v>0</v>
      </c>
      <c r="T11" s="44"/>
    </row>
    <row r="12" spans="1:20" s="4" customFormat="1" ht="45">
      <c r="A12" s="98" t="s">
        <v>21</v>
      </c>
      <c r="B12" s="98" t="s">
        <v>68</v>
      </c>
      <c r="C12" s="6" t="s">
        <v>39</v>
      </c>
      <c r="D12" s="128">
        <v>0.040179</v>
      </c>
      <c r="E12" s="128">
        <v>0</v>
      </c>
      <c r="F12" s="128">
        <f>SUM(F13:F14)</f>
        <v>1.778</v>
      </c>
      <c r="G12" s="128">
        <f aca="true" t="shared" si="1" ref="G12:O12">SUM(G13:G14)</f>
        <v>0.36078115</v>
      </c>
      <c r="H12" s="128">
        <f t="shared" si="1"/>
        <v>1.16</v>
      </c>
      <c r="I12" s="128">
        <f t="shared" si="1"/>
        <v>0.258089</v>
      </c>
      <c r="J12" s="128">
        <f>+'1) costi totali + UE'!J12</f>
        <v>3.0675499</v>
      </c>
      <c r="K12" s="128">
        <f t="shared" si="1"/>
        <v>0.72657954</v>
      </c>
      <c r="L12" s="128">
        <f>+'1) costi totali + UE'!L12</f>
        <v>3.153</v>
      </c>
      <c r="M12" s="128">
        <f t="shared" si="1"/>
        <v>0.8196300000000001</v>
      </c>
      <c r="N12" s="129">
        <f>+'1) costi totali + UE'!N12</f>
        <v>6.95258</v>
      </c>
      <c r="O12" s="129">
        <f t="shared" si="1"/>
        <v>1.5821992</v>
      </c>
      <c r="P12" s="129">
        <f>+'1) costi totali + UE'!P12</f>
        <v>2.6083569999999994</v>
      </c>
      <c r="Q12" s="129">
        <f>SUM(Q13:Q14)</f>
        <v>0.542721</v>
      </c>
      <c r="R12" s="130">
        <f>SUM(P12+N12+L12+J12+H12+F12+D12)</f>
        <v>18.759665899999995</v>
      </c>
      <c r="S12" s="130">
        <f aca="true" t="shared" si="2" ref="S12:S17">SUM(Q12+O12+M12+K12+I12+G12)</f>
        <v>4.28999989</v>
      </c>
      <c r="T12" s="44"/>
    </row>
    <row r="13" spans="1:21" s="4" customFormat="1" ht="16.5" customHeight="1">
      <c r="A13" s="98" t="s">
        <v>22</v>
      </c>
      <c r="B13" s="98"/>
      <c r="C13" s="6" t="s">
        <v>24</v>
      </c>
      <c r="D13" s="128">
        <v>0.040179</v>
      </c>
      <c r="E13" s="128"/>
      <c r="F13" s="128">
        <v>1.778</v>
      </c>
      <c r="G13" s="128">
        <v>0.36078115</v>
      </c>
      <c r="H13" s="128">
        <v>1.115</v>
      </c>
      <c r="I13" s="128">
        <v>0.240764</v>
      </c>
      <c r="J13" s="128">
        <f>+'1) costi totali + UE'!J13</f>
        <v>2.71051034</v>
      </c>
      <c r="K13" s="128">
        <v>0.5891336</v>
      </c>
      <c r="L13" s="128">
        <f>+'1) costi totali + UE'!L13</f>
        <v>2.253</v>
      </c>
      <c r="M13" s="128">
        <v>0.47313</v>
      </c>
      <c r="N13" s="129">
        <f>+'1) costi totali + UE'!N13</f>
        <v>6.25462</v>
      </c>
      <c r="O13" s="129">
        <f>+N13*0.21</f>
        <v>1.3134702</v>
      </c>
      <c r="P13" s="129">
        <f>+'1) costi totali + UE'!P13</f>
        <v>2.6083569999999994</v>
      </c>
      <c r="Q13" s="129">
        <f>0.838321+0.020498+0.018654-0.13713-0.039152-0.15847</f>
        <v>0.542721</v>
      </c>
      <c r="R13" s="130">
        <f>SUM(P13+N13+L13+J13+H13+F13+D13)</f>
        <v>16.75966634</v>
      </c>
      <c r="S13" s="130">
        <f t="shared" si="2"/>
        <v>3.51999995</v>
      </c>
      <c r="T13" s="44"/>
      <c r="U13" s="44"/>
    </row>
    <row r="14" spans="1:21" s="4" customFormat="1" ht="33.75">
      <c r="A14" s="98" t="s">
        <v>23</v>
      </c>
      <c r="B14" s="98"/>
      <c r="C14" s="6" t="s">
        <v>40</v>
      </c>
      <c r="D14" s="128"/>
      <c r="E14" s="128"/>
      <c r="F14" s="128">
        <v>0</v>
      </c>
      <c r="G14" s="128">
        <v>0</v>
      </c>
      <c r="H14" s="128">
        <v>0.045</v>
      </c>
      <c r="I14" s="128">
        <f>+H14*0.385</f>
        <v>0.017325</v>
      </c>
      <c r="J14" s="128">
        <f>+'1) costi totali + UE'!J14</f>
        <v>0.35703956</v>
      </c>
      <c r="K14" s="128">
        <v>0.13744594</v>
      </c>
      <c r="L14" s="128">
        <f>+'1) costi totali + UE'!L14</f>
        <v>0.9</v>
      </c>
      <c r="M14" s="128">
        <f>+L14*0.385</f>
        <v>0.34650000000000003</v>
      </c>
      <c r="N14" s="129">
        <f>+'1) costi totali + UE'!N14</f>
        <v>0.6979599999999999</v>
      </c>
      <c r="O14" s="129">
        <f>0.3465+0.616-0.519454-0.174317</f>
        <v>0.26872899999999994</v>
      </c>
      <c r="P14" s="129">
        <f>+'1) costi totali + UE'!P14</f>
        <v>0</v>
      </c>
      <c r="Q14" s="129">
        <v>0</v>
      </c>
      <c r="R14" s="130">
        <f>SUM(P14+N14+L14+J14+H14+F14)</f>
        <v>1.99999956</v>
      </c>
      <c r="S14" s="130">
        <f t="shared" si="2"/>
        <v>0.76999994</v>
      </c>
      <c r="T14" s="44"/>
      <c r="U14" s="44"/>
    </row>
    <row r="15" spans="1:20" ht="45">
      <c r="A15" s="98" t="s">
        <v>11</v>
      </c>
      <c r="B15" s="98" t="s">
        <v>56</v>
      </c>
      <c r="C15" s="6" t="s">
        <v>18</v>
      </c>
      <c r="D15" s="128">
        <v>0.1455</v>
      </c>
      <c r="E15" s="128">
        <v>0</v>
      </c>
      <c r="F15" s="128">
        <f>SUM(F16:F17)</f>
        <v>0.125</v>
      </c>
      <c r="G15" s="128">
        <f aca="true" t="shared" si="3" ref="G15:O15">SUM(G16:G17)</f>
        <v>0.031</v>
      </c>
      <c r="H15" s="128">
        <f t="shared" si="3"/>
        <v>1.075</v>
      </c>
      <c r="I15" s="128">
        <f>SUM(I16:I17)</f>
        <v>0.20299999999999999</v>
      </c>
      <c r="J15" s="128">
        <f>+'1) costi totali + UE'!J15</f>
        <v>0.75144128</v>
      </c>
      <c r="K15" s="128">
        <f t="shared" si="3"/>
        <v>0.14240534999999999</v>
      </c>
      <c r="L15" s="128">
        <f>+'1) costi totali + UE'!L15</f>
        <v>0.8999996666666666</v>
      </c>
      <c r="M15" s="128">
        <f t="shared" si="3"/>
        <v>0.194283</v>
      </c>
      <c r="N15" s="129">
        <f>+'1) costi totali + UE'!N15</f>
        <v>0.9</v>
      </c>
      <c r="O15" s="129">
        <f t="shared" si="3"/>
        <v>0.1942833</v>
      </c>
      <c r="P15" s="129">
        <f>+'1) costi totali + UE'!P15</f>
        <v>1.173059</v>
      </c>
      <c r="Q15" s="129">
        <f>SUM(Q16:Q17)+0.001</f>
        <v>0.284478</v>
      </c>
      <c r="R15" s="130">
        <f>SUM(P15+N15+L15+J15+H15+F15+D15)</f>
        <v>5.069999946666667</v>
      </c>
      <c r="S15" s="130">
        <f t="shared" si="2"/>
        <v>1.04944965</v>
      </c>
      <c r="T15" s="44"/>
    </row>
    <row r="16" spans="1:21" ht="45">
      <c r="A16" s="98" t="s">
        <v>12</v>
      </c>
      <c r="B16" s="98"/>
      <c r="C16" s="6" t="s">
        <v>19</v>
      </c>
      <c r="D16" s="128">
        <v>0.1455</v>
      </c>
      <c r="E16" s="128"/>
      <c r="F16" s="128">
        <v>0.08</v>
      </c>
      <c r="G16" s="128">
        <v>0.014</v>
      </c>
      <c r="H16" s="128">
        <v>1.005</v>
      </c>
      <c r="I16" s="128">
        <v>0.176</v>
      </c>
      <c r="J16" s="128">
        <f>+'1) costi totali + UE'!J16</f>
        <v>0.697651</v>
      </c>
      <c r="K16" s="128">
        <v>0.12169825</v>
      </c>
      <c r="L16" s="128">
        <f>+'1) costi totali + UE'!L16</f>
        <v>0.7166666666666667</v>
      </c>
      <c r="M16" s="128">
        <v>0.1237</v>
      </c>
      <c r="N16" s="129">
        <f>+'1) costi totali + UE'!N16</f>
        <v>0.716667</v>
      </c>
      <c r="O16" s="129">
        <v>0.1237</v>
      </c>
      <c r="P16" s="129">
        <f>+'1) costi totali + UE'!P16</f>
        <v>0.9385149999999999</v>
      </c>
      <c r="Q16" s="129">
        <f>0.189842+0.00306+0.003533+0.006021-0.009554</f>
        <v>0.19290200000000002</v>
      </c>
      <c r="R16" s="130">
        <f>SUM(P16+N16+L16+J16+H16+F16+D16)</f>
        <v>4.299999666666666</v>
      </c>
      <c r="S16" s="130">
        <f t="shared" si="2"/>
        <v>0.75200025</v>
      </c>
      <c r="T16" s="44"/>
      <c r="U16" s="44"/>
    </row>
    <row r="17" spans="1:21" ht="67.5">
      <c r="A17" s="98" t="s">
        <v>13</v>
      </c>
      <c r="B17" s="98"/>
      <c r="C17" s="6" t="s">
        <v>20</v>
      </c>
      <c r="D17" s="128"/>
      <c r="E17" s="128"/>
      <c r="F17" s="128">
        <v>0.045</v>
      </c>
      <c r="G17" s="128">
        <v>0.017</v>
      </c>
      <c r="H17" s="128">
        <v>0.07</v>
      </c>
      <c r="I17" s="128">
        <v>0.027</v>
      </c>
      <c r="J17" s="128">
        <f>+'1) costi totali + UE'!J17</f>
        <v>0.05379028</v>
      </c>
      <c r="K17" s="128">
        <v>0.0207071</v>
      </c>
      <c r="L17" s="128">
        <f>+'1) costi totali + UE'!L17</f>
        <v>0.183333</v>
      </c>
      <c r="M17" s="128">
        <v>0.070583</v>
      </c>
      <c r="N17" s="129">
        <f>+'1) costi totali + UE'!N17</f>
        <v>0.183333</v>
      </c>
      <c r="O17" s="129">
        <v>0.0705833</v>
      </c>
      <c r="P17" s="129">
        <f>+'1) costi totali + UE'!P17</f>
        <v>0.2345440000000001</v>
      </c>
      <c r="Q17" s="129">
        <f>0.168378+0.025795+0.023953+0.053644-0.018374-0.12755-0.03527</f>
        <v>0.09057599999999996</v>
      </c>
      <c r="R17" s="130">
        <f>SUM(P17+N17+L17+J17+H17+F17)</f>
        <v>0.7700002800000002</v>
      </c>
      <c r="S17" s="130">
        <f t="shared" si="2"/>
        <v>0.2964494</v>
      </c>
      <c r="T17" s="44"/>
      <c r="U17" s="44"/>
    </row>
    <row r="18" spans="1:20" ht="33.75">
      <c r="A18" s="98"/>
      <c r="B18" s="98" t="s">
        <v>57</v>
      </c>
      <c r="C18" s="6" t="s">
        <v>7</v>
      </c>
      <c r="D18" s="128">
        <v>0.019107</v>
      </c>
      <c r="E18" s="128">
        <v>0</v>
      </c>
      <c r="F18" s="128">
        <f>0.642-0.642</f>
        <v>0</v>
      </c>
      <c r="G18" s="128">
        <f>+F18*0.5</f>
        <v>0</v>
      </c>
      <c r="H18" s="128">
        <v>0</v>
      </c>
      <c r="I18" s="128">
        <f>+H18*0.5</f>
        <v>0</v>
      </c>
      <c r="J18" s="128">
        <f>+'1) costi totali + UE'!J18</f>
        <v>0</v>
      </c>
      <c r="K18" s="128">
        <v>0</v>
      </c>
      <c r="L18" s="128">
        <f>+'1) costi totali + UE'!L18</f>
        <v>0</v>
      </c>
      <c r="M18" s="128">
        <v>0</v>
      </c>
      <c r="N18" s="129">
        <f>+'1) costi totali + UE'!N18</f>
        <v>0</v>
      </c>
      <c r="O18" s="129">
        <v>0</v>
      </c>
      <c r="P18" s="129">
        <f>+'1) costi totali + UE'!P18</f>
        <v>-0.019107</v>
      </c>
      <c r="Q18" s="129">
        <v>0</v>
      </c>
      <c r="R18" s="130">
        <f aca="true" t="shared" si="4" ref="R18:S21">+P18+N18+L18+J18+H18+F18+D18</f>
        <v>0</v>
      </c>
      <c r="S18" s="130">
        <f t="shared" si="4"/>
        <v>0</v>
      </c>
      <c r="T18" s="44"/>
    </row>
    <row r="19" spans="1:21" ht="33.75">
      <c r="A19" s="98">
        <v>6</v>
      </c>
      <c r="B19" s="98" t="s">
        <v>62</v>
      </c>
      <c r="C19" s="6" t="s">
        <v>25</v>
      </c>
      <c r="D19" s="128">
        <v>0.160714</v>
      </c>
      <c r="E19" s="128">
        <v>0</v>
      </c>
      <c r="F19" s="128">
        <v>13.91558</v>
      </c>
      <c r="G19" s="128">
        <v>2.43522649</v>
      </c>
      <c r="H19" s="128">
        <v>14.258</v>
      </c>
      <c r="I19" s="128">
        <v>2.49521386</v>
      </c>
      <c r="J19" s="128">
        <f>+'1) costi totali + UE'!J19</f>
        <v>22.348246666666668</v>
      </c>
      <c r="K19" s="128">
        <f>+J19*0.175</f>
        <v>3.9109431666666667</v>
      </c>
      <c r="L19" s="128">
        <f>+'1) costi totali + UE'!L19</f>
        <v>10.1</v>
      </c>
      <c r="M19" s="128">
        <v>1.7675</v>
      </c>
      <c r="N19" s="129">
        <f>+'1) costi totali + UE'!N19</f>
        <v>3.643694</v>
      </c>
      <c r="O19" s="129">
        <f>1.320116-0.654517</f>
        <v>0.665599</v>
      </c>
      <c r="P19" s="129">
        <f>+'1) costi totali + UE'!P19</f>
        <v>6.025265</v>
      </c>
      <c r="Q19" s="129">
        <f>0.456435+0.654517</f>
        <v>1.110952</v>
      </c>
      <c r="R19" s="130">
        <f t="shared" si="4"/>
        <v>70.45149966666668</v>
      </c>
      <c r="S19" s="130">
        <f>+Q19+O19+M19+K19+I19+G19+E19</f>
        <v>12.385434516666667</v>
      </c>
      <c r="T19" s="44"/>
      <c r="U19" s="44"/>
    </row>
    <row r="20" spans="1:20" ht="33.75">
      <c r="A20" s="98">
        <v>7</v>
      </c>
      <c r="B20" s="98" t="s">
        <v>63</v>
      </c>
      <c r="C20" s="6" t="s">
        <v>26</v>
      </c>
      <c r="D20" s="128">
        <v>0.004464</v>
      </c>
      <c r="E20" s="128">
        <v>0</v>
      </c>
      <c r="F20" s="128">
        <v>0</v>
      </c>
      <c r="G20" s="128">
        <v>0</v>
      </c>
      <c r="H20" s="128">
        <v>0</v>
      </c>
      <c r="I20" s="128">
        <f>+H20*0.353</f>
        <v>0</v>
      </c>
      <c r="J20" s="128">
        <f>+'1) costi totali + UE'!J20</f>
        <v>0</v>
      </c>
      <c r="K20" s="128">
        <f>+J20*0.353</f>
        <v>0</v>
      </c>
      <c r="L20" s="128">
        <f>+'1) costi totali + UE'!L20</f>
        <v>0</v>
      </c>
      <c r="M20" s="128">
        <f>+L20*0.353</f>
        <v>0</v>
      </c>
      <c r="N20" s="129">
        <f>+'1) costi totali + UE'!N20</f>
        <v>0</v>
      </c>
      <c r="O20" s="129">
        <f>+N20*0.353</f>
        <v>0</v>
      </c>
      <c r="P20" s="129">
        <f>+'1) costi totali + UE'!P20</f>
        <v>-0.004464</v>
      </c>
      <c r="Q20" s="129">
        <v>0</v>
      </c>
      <c r="R20" s="130">
        <f t="shared" si="4"/>
        <v>0</v>
      </c>
      <c r="S20" s="130">
        <f t="shared" si="4"/>
        <v>0</v>
      </c>
      <c r="T20" s="44"/>
    </row>
    <row r="21" spans="1:20" ht="12.75">
      <c r="A21" s="98">
        <v>8</v>
      </c>
      <c r="B21" s="98" t="s">
        <v>58</v>
      </c>
      <c r="C21" s="6" t="s">
        <v>27</v>
      </c>
      <c r="D21" s="128">
        <v>0.006696</v>
      </c>
      <c r="E21" s="128">
        <v>0</v>
      </c>
      <c r="F21" s="128">
        <v>0.075</v>
      </c>
      <c r="G21" s="128">
        <v>0.02625018</v>
      </c>
      <c r="H21" s="128">
        <v>0.135</v>
      </c>
      <c r="I21" s="128">
        <v>0.04725</v>
      </c>
      <c r="J21" s="128">
        <f>+'1) costi totali + UE'!J21</f>
        <v>0.135</v>
      </c>
      <c r="K21" s="128">
        <v>0.04725</v>
      </c>
      <c r="L21" s="128">
        <f>+'1) costi totali + UE'!L21</f>
        <v>0.135</v>
      </c>
      <c r="M21" s="128">
        <v>0.04725</v>
      </c>
      <c r="N21" s="129">
        <f>+'1) costi totali + UE'!N21</f>
        <v>0.1355</v>
      </c>
      <c r="O21" s="129">
        <v>0.04725</v>
      </c>
      <c r="P21" s="129">
        <f>+'1) costi totali + UE'!P21</f>
        <v>0.127804</v>
      </c>
      <c r="Q21" s="129">
        <v>0.04775</v>
      </c>
      <c r="R21" s="130">
        <f t="shared" si="4"/>
        <v>0.75</v>
      </c>
      <c r="S21" s="130">
        <f>+Q21+O21+M21+K21+I21+G21+E21</f>
        <v>0.26300018000000003</v>
      </c>
      <c r="T21" s="44"/>
    </row>
    <row r="22" spans="1:20" ht="45">
      <c r="A22" s="98">
        <v>9</v>
      </c>
      <c r="B22" s="98" t="s">
        <v>59</v>
      </c>
      <c r="C22" s="6" t="s">
        <v>28</v>
      </c>
      <c r="D22" s="128">
        <v>0.005357</v>
      </c>
      <c r="E22" s="128">
        <v>0</v>
      </c>
      <c r="F22" s="128">
        <v>0</v>
      </c>
      <c r="G22" s="128">
        <v>0</v>
      </c>
      <c r="H22" s="128">
        <v>0</v>
      </c>
      <c r="I22" s="128">
        <f>+H22*0.221</f>
        <v>0</v>
      </c>
      <c r="J22" s="128">
        <f>+'1) costi totali + UE'!J22</f>
        <v>0</v>
      </c>
      <c r="K22" s="128">
        <f>+J22*0.221</f>
        <v>0</v>
      </c>
      <c r="L22" s="128">
        <f>+'1) costi totali + UE'!L22</f>
        <v>0</v>
      </c>
      <c r="M22" s="128">
        <f>+L22*0.221</f>
        <v>0</v>
      </c>
      <c r="N22" s="129">
        <f>+'1) costi totali + UE'!N22</f>
        <v>0</v>
      </c>
      <c r="O22" s="129">
        <v>0</v>
      </c>
      <c r="P22" s="129">
        <f>+'1) costi totali + UE'!P22</f>
        <v>-0.005357</v>
      </c>
      <c r="Q22" s="129">
        <f>0.077872-0.077872</f>
        <v>0</v>
      </c>
      <c r="R22" s="130">
        <f aca="true" t="shared" si="5" ref="R22:S25">+P22+N22+L22+J22+H22+F22+D22</f>
        <v>0</v>
      </c>
      <c r="S22" s="130">
        <f>+Q22+O22+M22+K22+I22+G22+E22</f>
        <v>0</v>
      </c>
      <c r="T22" s="44"/>
    </row>
    <row r="23" spans="1:20" ht="22.5">
      <c r="A23" s="98">
        <v>10</v>
      </c>
      <c r="B23" s="98" t="s">
        <v>64</v>
      </c>
      <c r="C23" s="6" t="s">
        <v>29</v>
      </c>
      <c r="D23" s="128">
        <v>0.005357</v>
      </c>
      <c r="E23" s="128">
        <v>0</v>
      </c>
      <c r="F23" s="128">
        <v>0</v>
      </c>
      <c r="G23" s="128">
        <v>0</v>
      </c>
      <c r="H23" s="128">
        <v>0</v>
      </c>
      <c r="I23" s="128">
        <f>+H23*0.353</f>
        <v>0</v>
      </c>
      <c r="J23" s="128">
        <f>+'1) costi totali + UE'!J23</f>
        <v>0</v>
      </c>
      <c r="K23" s="128">
        <f>+J23*0.353</f>
        <v>0</v>
      </c>
      <c r="L23" s="128">
        <f>+'1) costi totali + UE'!L23</f>
        <v>0</v>
      </c>
      <c r="M23" s="128">
        <f>+L23*0.353</f>
        <v>0</v>
      </c>
      <c r="N23" s="129">
        <f>+'1) costi totali + UE'!N23</f>
        <v>0</v>
      </c>
      <c r="O23" s="129">
        <f>+N23*0.353</f>
        <v>0</v>
      </c>
      <c r="P23" s="129">
        <f>+'1) costi totali + UE'!P23</f>
        <v>-0.005357</v>
      </c>
      <c r="Q23" s="129">
        <v>0</v>
      </c>
      <c r="R23" s="130">
        <f t="shared" si="5"/>
        <v>0</v>
      </c>
      <c r="S23" s="130">
        <f t="shared" si="5"/>
        <v>0</v>
      </c>
      <c r="T23" s="44"/>
    </row>
    <row r="24" spans="1:21" ht="33.75">
      <c r="A24" s="98">
        <v>11</v>
      </c>
      <c r="B24" s="98" t="s">
        <v>65</v>
      </c>
      <c r="C24" s="6" t="s">
        <v>30</v>
      </c>
      <c r="D24" s="128">
        <v>0.064286</v>
      </c>
      <c r="E24" s="128">
        <v>0</v>
      </c>
      <c r="F24" s="128">
        <v>0</v>
      </c>
      <c r="G24" s="128">
        <f>+F24*0.353</f>
        <v>0</v>
      </c>
      <c r="H24" s="128">
        <v>0.998</v>
      </c>
      <c r="I24" s="128">
        <v>0.35211686</v>
      </c>
      <c r="J24" s="128">
        <f>+'1) costi totali + UE'!J24</f>
        <v>2.30450835</v>
      </c>
      <c r="K24" s="128">
        <v>0.81339927</v>
      </c>
      <c r="L24" s="128">
        <f>+'1) costi totali + UE'!L24</f>
        <v>2.491</v>
      </c>
      <c r="M24" s="128">
        <v>0.879323</v>
      </c>
      <c r="N24" s="129">
        <f>+'1) costi totali + UE'!N24</f>
        <v>4</v>
      </c>
      <c r="O24" s="129">
        <f>+N24*0.353</f>
        <v>1.412</v>
      </c>
      <c r="P24" s="129">
        <f>+'1) costi totali + UE'!P24</f>
        <v>2.2925840000000006</v>
      </c>
      <c r="Q24" s="129">
        <f>1.353041-0.314597+0.620135-0.237088-0.479027-0.0038793-0.053265-0.031129-0.111424+0.084394</f>
        <v>0.8271607000000001</v>
      </c>
      <c r="R24" s="130">
        <f t="shared" si="5"/>
        <v>12.150378349999999</v>
      </c>
      <c r="S24" s="130">
        <f t="shared" si="5"/>
        <v>4.28399983</v>
      </c>
      <c r="T24" s="44"/>
      <c r="U24" s="44"/>
    </row>
    <row r="25" spans="1:22" ht="22.5">
      <c r="A25" s="98">
        <v>12</v>
      </c>
      <c r="B25" s="98" t="s">
        <v>66</v>
      </c>
      <c r="C25" s="6" t="s">
        <v>31</v>
      </c>
      <c r="D25" s="128">
        <v>0.108179</v>
      </c>
      <c r="E25" s="128">
        <v>0</v>
      </c>
      <c r="F25" s="128">
        <v>2.76</v>
      </c>
      <c r="G25" s="128">
        <v>0.97428005</v>
      </c>
      <c r="H25" s="128">
        <v>1.791</v>
      </c>
      <c r="I25" s="128">
        <v>0.58180028</v>
      </c>
      <c r="J25" s="128">
        <f>+'1) costi totali + UE'!J25</f>
        <v>3.333611</v>
      </c>
      <c r="K25" s="128">
        <v>1.159971</v>
      </c>
      <c r="L25" s="128">
        <f>+'1) costi totali + UE'!L25</f>
        <v>3.343</v>
      </c>
      <c r="M25" s="128">
        <v>0.929354</v>
      </c>
      <c r="N25" s="129">
        <f>+'1) costi totali + UE'!N25</f>
        <v>6.4</v>
      </c>
      <c r="O25" s="129">
        <f>+N25*0.278</f>
        <v>1.7792000000000003</v>
      </c>
      <c r="P25" s="129">
        <f>+'1) costi totali + UE'!P25</f>
        <v>5.66324</v>
      </c>
      <c r="Q25" s="129">
        <f>1.941238-0.384205+0.152475-0.477347-0.480746+0.150078-0.151767+0.330668</f>
        <v>1.080394</v>
      </c>
      <c r="R25" s="130">
        <f t="shared" si="5"/>
        <v>23.399030000000003</v>
      </c>
      <c r="S25" s="130">
        <f>+Q25+O25+M25+K25+I25+G25+E25</f>
        <v>6.5049993299999995</v>
      </c>
      <c r="T25" s="44"/>
      <c r="U25" s="44"/>
      <c r="V25" s="44"/>
    </row>
    <row r="26" spans="1:22" ht="12.75">
      <c r="A26" s="98">
        <v>13</v>
      </c>
      <c r="B26" s="98" t="s">
        <v>60</v>
      </c>
      <c r="C26" s="6" t="s">
        <v>32</v>
      </c>
      <c r="D26" s="134">
        <v>1.12625</v>
      </c>
      <c r="E26" s="128">
        <v>0</v>
      </c>
      <c r="F26" s="128">
        <f>11.3217522</f>
        <v>11.3217522</v>
      </c>
      <c r="G26" s="128">
        <v>5.6608761</v>
      </c>
      <c r="H26" s="128">
        <v>16.95335428</v>
      </c>
      <c r="I26" s="128">
        <v>8.47667714</v>
      </c>
      <c r="J26" s="128">
        <f>+'1) costi totali + UE'!J26</f>
        <v>16.1281301</v>
      </c>
      <c r="K26" s="128">
        <f>+J26*0.5</f>
        <v>8.06406505</v>
      </c>
      <c r="L26" s="128">
        <f>+'1) costi totali + UE'!L26</f>
        <v>15.758418</v>
      </c>
      <c r="M26" s="128">
        <f>+L26*0.5</f>
        <v>7.879209</v>
      </c>
      <c r="N26" s="129">
        <f>+'1) costi totali + UE'!N26</f>
        <v>17.757176</v>
      </c>
      <c r="O26" s="129">
        <f>+N26*0.5</f>
        <v>8.878588</v>
      </c>
      <c r="P26" s="129">
        <f>+'1) costi totali + UE'!P26</f>
        <v>12.130420999999998</v>
      </c>
      <c r="Q26" s="129">
        <f>7.856447+0.033042-0.1231116-1.561291+0.454-0.449682-0.131299-0.508-0.25-0.378588+1.626238+0.062034</f>
        <v>6.6297894</v>
      </c>
      <c r="R26" s="130">
        <f>P26+N26+L26+J26+H26+F26+D26</f>
        <v>91.17550158</v>
      </c>
      <c r="S26" s="130">
        <f>Q26+O26+M26+K26+I26+G26+E26</f>
        <v>45.58920469</v>
      </c>
      <c r="T26" s="44"/>
      <c r="U26" s="44"/>
      <c r="V26" s="44"/>
    </row>
    <row r="27" spans="1:22" ht="12.75">
      <c r="A27" s="98"/>
      <c r="B27" s="98"/>
      <c r="C27" s="6" t="s">
        <v>5</v>
      </c>
      <c r="D27" s="134">
        <v>31.308258</v>
      </c>
      <c r="E27" s="128">
        <v>15.65412905</v>
      </c>
      <c r="F27" s="128">
        <f>2.0217454+0.003332</f>
        <v>2.0250774</v>
      </c>
      <c r="G27" s="128">
        <v>1.01075154</v>
      </c>
      <c r="H27" s="128">
        <v>0.75170132</v>
      </c>
      <c r="I27" s="128">
        <v>0.37585066</v>
      </c>
      <c r="J27" s="128">
        <f>+'1) costi totali + UE'!J27</f>
        <v>0.87946014</v>
      </c>
      <c r="K27" s="128">
        <f>+J27*0.5</f>
        <v>0.43973007</v>
      </c>
      <c r="L27" s="128">
        <f>+'1) costi totali + UE'!L27</f>
        <v>0</v>
      </c>
      <c r="M27" s="128">
        <f>+L27/2</f>
        <v>0</v>
      </c>
      <c r="N27" s="129">
        <f>+'1) costi totali + UE'!N27</f>
        <v>0</v>
      </c>
      <c r="O27" s="129">
        <v>0</v>
      </c>
      <c r="P27" s="129">
        <f>+'1) costi totali + UE'!P27</f>
        <v>0</v>
      </c>
      <c r="Q27" s="129">
        <v>0</v>
      </c>
      <c r="R27" s="130">
        <f>P27+N27+L27+J27+H27+F27+D27</f>
        <v>34.96449686</v>
      </c>
      <c r="S27" s="130">
        <f>Q27+O27+M27+K27+I27+G27+E27</f>
        <v>17.48046132</v>
      </c>
      <c r="T27" s="44"/>
      <c r="U27" s="5"/>
      <c r="V27" s="5"/>
    </row>
    <row r="28" spans="1:21" ht="33.75">
      <c r="A28" s="98">
        <v>14</v>
      </c>
      <c r="B28" s="98" t="s">
        <v>61</v>
      </c>
      <c r="C28" s="6" t="s">
        <v>33</v>
      </c>
      <c r="D28" s="128">
        <v>0.271072</v>
      </c>
      <c r="E28" s="128">
        <v>0</v>
      </c>
      <c r="F28" s="128">
        <v>3.945877</v>
      </c>
      <c r="G28" s="128">
        <v>1.9729385</v>
      </c>
      <c r="H28" s="128">
        <v>6.53143032</v>
      </c>
      <c r="I28" s="128">
        <v>3.26571516</v>
      </c>
      <c r="J28" s="128">
        <f>+'1) costi totali + UE'!J28</f>
        <v>7.7910946</v>
      </c>
      <c r="K28" s="128">
        <f>+J28*0.5</f>
        <v>3.8955473</v>
      </c>
      <c r="L28" s="128">
        <f>+'1) costi totali + UE'!L28</f>
        <v>7.558359</v>
      </c>
      <c r="M28" s="128">
        <f>+L28*0.5</f>
        <v>3.7791795</v>
      </c>
      <c r="N28" s="129">
        <f>+'1) costi totali + UE'!N28</f>
        <v>3.7480500000000005</v>
      </c>
      <c r="O28" s="129">
        <f>1.953148+0.3134715-0.24032+0.003962</f>
        <v>2.0302615</v>
      </c>
      <c r="P28" s="129">
        <f>+'1) costi totali + UE'!P28</f>
        <v>0.472717</v>
      </c>
      <c r="Q28" s="129">
        <f>+P28*0.5</f>
        <v>0.2363585</v>
      </c>
      <c r="R28" s="130">
        <f>SUM(D28+F28+H28+J28+L28+N28+P28)</f>
        <v>30.318599919999997</v>
      </c>
      <c r="S28" s="130">
        <f>SUM(E28+G28+I28+K28+M28+O28+Q28)</f>
        <v>15.180000459999999</v>
      </c>
      <c r="T28" s="44"/>
      <c r="U28" s="44"/>
    </row>
    <row r="29" spans="1:20" ht="56.25">
      <c r="A29" s="98" t="s">
        <v>8</v>
      </c>
      <c r="B29" s="98" t="s">
        <v>67</v>
      </c>
      <c r="C29" s="6" t="s">
        <v>34</v>
      </c>
      <c r="D29" s="128">
        <v>0.004357</v>
      </c>
      <c r="E29" s="128">
        <v>0</v>
      </c>
      <c r="F29" s="128">
        <v>0</v>
      </c>
      <c r="G29" s="128">
        <v>0</v>
      </c>
      <c r="H29" s="128">
        <v>0</v>
      </c>
      <c r="I29" s="128">
        <f>+H29*0.221</f>
        <v>0</v>
      </c>
      <c r="J29" s="128">
        <f>+'1) costi totali + UE'!J29</f>
        <v>0</v>
      </c>
      <c r="K29" s="128">
        <f>+J29*0.221</f>
        <v>0</v>
      </c>
      <c r="L29" s="128">
        <f>+'1) costi totali + UE'!L29</f>
        <v>0</v>
      </c>
      <c r="M29" s="128">
        <f>+L29*0.221</f>
        <v>0</v>
      </c>
      <c r="N29" s="129">
        <f>+'1) costi totali + UE'!N29</f>
        <v>0</v>
      </c>
      <c r="O29" s="129">
        <f>+N29*0.221</f>
        <v>0</v>
      </c>
      <c r="P29" s="129">
        <f>+'1) costi totali + UE'!P29</f>
        <v>-0.004357</v>
      </c>
      <c r="Q29" s="129">
        <v>0</v>
      </c>
      <c r="R29" s="130">
        <f aca="true" t="shared" si="6" ref="R29:S32">+P29+N29+L29+J29+H29+F29+D29</f>
        <v>0</v>
      </c>
      <c r="S29" s="130">
        <f t="shared" si="6"/>
        <v>0</v>
      </c>
      <c r="T29" s="44"/>
    </row>
    <row r="30" spans="1:21" ht="45">
      <c r="A30" s="98" t="s">
        <v>36</v>
      </c>
      <c r="B30" s="98" t="s">
        <v>56</v>
      </c>
      <c r="C30" s="6" t="s">
        <v>35</v>
      </c>
      <c r="D30" s="128">
        <f>SUM(D31:D32)</f>
        <v>0</v>
      </c>
      <c r="E30" s="128">
        <f aca="true" t="shared" si="7" ref="E30:O30">SUM(E31:E32)</f>
        <v>0</v>
      </c>
      <c r="F30" s="128">
        <f t="shared" si="7"/>
        <v>2.9090457499999998</v>
      </c>
      <c r="G30" s="128">
        <f t="shared" si="7"/>
        <v>0.488858</v>
      </c>
      <c r="H30" s="128">
        <f t="shared" si="7"/>
        <v>5.552014000000001</v>
      </c>
      <c r="I30" s="128">
        <f t="shared" si="7"/>
        <v>1.157618352</v>
      </c>
      <c r="J30" s="128">
        <f>+'1) costi totali + UE'!J30</f>
        <v>8.93057134</v>
      </c>
      <c r="K30" s="128">
        <f t="shared" si="7"/>
        <v>2.2555614</v>
      </c>
      <c r="L30" s="128">
        <f>+'1) costi totali + UE'!L30</f>
        <v>5.348</v>
      </c>
      <c r="M30" s="128">
        <f t="shared" si="7"/>
        <v>1.349031</v>
      </c>
      <c r="N30" s="129">
        <f>+'1) costi totali + UE'!N30</f>
        <v>5.964476</v>
      </c>
      <c r="O30" s="129">
        <f t="shared" si="7"/>
        <v>1.9953910000000001</v>
      </c>
      <c r="P30" s="129">
        <f>+'1) costi totali + UE'!P30</f>
        <v>8.148321</v>
      </c>
      <c r="Q30" s="129">
        <f>SUM(Q31:Q32)-0.003+0.000001</f>
        <v>2.4451323</v>
      </c>
      <c r="R30" s="130">
        <f t="shared" si="6"/>
        <v>36.85242809</v>
      </c>
      <c r="S30" s="130">
        <f>+Q30+O30+M30+K30+I30+G30+E30</f>
        <v>9.691592052</v>
      </c>
      <c r="T30" s="44"/>
      <c r="U30" s="5"/>
    </row>
    <row r="31" spans="1:22" ht="45">
      <c r="A31" s="98" t="s">
        <v>9</v>
      </c>
      <c r="B31" s="98"/>
      <c r="C31" s="6" t="s">
        <v>38</v>
      </c>
      <c r="D31" s="128"/>
      <c r="E31" s="128"/>
      <c r="F31" s="128">
        <v>0</v>
      </c>
      <c r="G31" s="128">
        <v>0</v>
      </c>
      <c r="H31" s="128">
        <v>1.011</v>
      </c>
      <c r="I31" s="128">
        <v>0.393727</v>
      </c>
      <c r="J31" s="128">
        <f>+'1) costi totali + UE'!J31</f>
        <v>3.42534584</v>
      </c>
      <c r="K31" s="128">
        <v>1.33068352</v>
      </c>
      <c r="L31" s="128">
        <f>+'1) costi totali + UE'!L31</f>
        <v>2.051606</v>
      </c>
      <c r="M31" s="128">
        <v>0.795824</v>
      </c>
      <c r="N31" s="129">
        <f>+'1) costi totali + UE'!N31</f>
        <v>4.5</v>
      </c>
      <c r="O31" s="129">
        <f>+N31*0.389</f>
        <v>1.7505000000000002</v>
      </c>
      <c r="P31" s="129">
        <f>+'1) costi totali + UE'!P31</f>
        <v>4.864476</v>
      </c>
      <c r="Q31" s="129">
        <f>2.1952423-0.596845-0.004814-0.482164-0.112782-0.05006+1.089593-0.398318-0.1945-0.1945+0.645006</f>
        <v>1.8958583</v>
      </c>
      <c r="R31" s="130">
        <f t="shared" si="6"/>
        <v>15.852427839999999</v>
      </c>
      <c r="S31" s="130">
        <f t="shared" si="6"/>
        <v>6.16659282</v>
      </c>
      <c r="T31" s="44"/>
      <c r="U31" s="44"/>
      <c r="V31" s="44"/>
    </row>
    <row r="32" spans="1:21" ht="22.5">
      <c r="A32" s="98" t="s">
        <v>10</v>
      </c>
      <c r="B32" s="98"/>
      <c r="C32" s="6" t="s">
        <v>37</v>
      </c>
      <c r="D32" s="128"/>
      <c r="E32" s="128"/>
      <c r="F32" s="128">
        <f>2.90981875-0.000773</f>
        <v>2.9090457499999998</v>
      </c>
      <c r="G32" s="128">
        <f>0.519858-G15</f>
        <v>0.488858</v>
      </c>
      <c r="H32" s="128">
        <f>4.541+0.000014</f>
        <v>4.5410140000000006</v>
      </c>
      <c r="I32" s="128">
        <f>+H32*0.168+0.001001</f>
        <v>0.7638913520000001</v>
      </c>
      <c r="J32" s="128">
        <f>+'1) costi totali + UE'!J32</f>
        <v>5.5052255</v>
      </c>
      <c r="K32" s="128">
        <v>0.92487788</v>
      </c>
      <c r="L32" s="128">
        <f>+'1) costi totali + UE'!L32</f>
        <v>3.296394</v>
      </c>
      <c r="M32" s="128">
        <v>0.553207</v>
      </c>
      <c r="N32" s="129">
        <f>+'1) costi totali + UE'!N32</f>
        <v>1.464476</v>
      </c>
      <c r="O32" s="129">
        <f>0.668684-0.355259-0.068534</f>
        <v>0.24489099999999997</v>
      </c>
      <c r="P32" s="129">
        <f>+'1) costi totali + UE'!P32</f>
        <v>3.283845</v>
      </c>
      <c r="Q32" s="129">
        <v>0.552273</v>
      </c>
      <c r="R32" s="130">
        <f t="shared" si="6"/>
        <v>21.000000250000003</v>
      </c>
      <c r="S32" s="130">
        <f t="shared" si="6"/>
        <v>3.5279982320000003</v>
      </c>
      <c r="T32" s="44"/>
      <c r="U32" s="44"/>
    </row>
    <row r="33" spans="1:21" s="4" customFormat="1" ht="12.75">
      <c r="A33" s="98"/>
      <c r="B33" s="98"/>
      <c r="C33" s="34" t="s">
        <v>49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129"/>
      <c r="P33" s="129"/>
      <c r="Q33" s="129"/>
      <c r="R33" s="129"/>
      <c r="S33" s="129">
        <f>+Q33+O33+M33+K33+I33+G33+E33</f>
        <v>0</v>
      </c>
      <c r="T33" s="44"/>
      <c r="U33" s="44"/>
    </row>
    <row r="34" spans="1:41" s="3" customFormat="1" ht="12.75">
      <c r="A34" s="97"/>
      <c r="B34" s="98"/>
      <c r="C34" s="35" t="s">
        <v>4</v>
      </c>
      <c r="D34" s="128">
        <f>SUM(D33+D30+D29+D28+D27+D26+D25+D24+D23+D22+D21+D20+D19+D18+D15+D12+D11+D10+D9+D8)</f>
        <v>33.42736499999999</v>
      </c>
      <c r="E34" s="128">
        <f>SUM(E30+E29+E28+E27+E26+E25+E24+E23+E22+E21+E20+E19+E18+E15+E12+E11+E10+E9+E8)</f>
        <v>15.65412905</v>
      </c>
      <c r="F34" s="128">
        <f>SUM(F30+F29+F28+F27+F26+F25+F24+F23+F22+F21+F20+F19+F18+F15+F12+F11+F10+F9+F8)</f>
        <v>43.73933235</v>
      </c>
      <c r="G34" s="128">
        <f>+G32+G31+G29+G28+G27+G26+G25+G24+G23+G22+G21+G20+G19+G18+G17+G16+G14+G13+G11+G10+G9+G8</f>
        <v>14.111460189999997</v>
      </c>
      <c r="H34" s="128">
        <f>SUM(H30+H29+H28+H27+H26+H25+H24+H23+H22+H21+H20+H19+H18+H15+H12+H11+H10+H9+H8)</f>
        <v>56.62599992</v>
      </c>
      <c r="I34" s="128">
        <f>+I32+I31+I29+I28+I27+I26+I25+I24+I23+I22+I21+I20+I19+I18+I17+I16+I14+I13+I11+I10+I9+I8</f>
        <v>19.030321962</v>
      </c>
      <c r="J34" s="128">
        <f>SUM(J30+J29+J28+J27+J26+J25+J24+J23+J22+J21+J20+J19+J18+J15+J12+J11+J10+J9+J8)</f>
        <v>76.60005099666667</v>
      </c>
      <c r="K34" s="128">
        <f>+K32+K31+K29+K28+K27+K26+K25+K24+K23+K22+K21+K20+K19+K18+K17+K16+K14+K13+K11+K10+K9+K8</f>
        <v>23.812660146666666</v>
      </c>
      <c r="L34" s="128">
        <f aca="true" t="shared" si="8" ref="L34:Q34">SUM(L30+L29+L28+L27+L26+L25+L24+L23+L22+L21+L20+L19+L18+L15+L12+L11+L10+L9+L8)</f>
        <v>59.10577666666667</v>
      </c>
      <c r="M34" s="128">
        <f t="shared" si="8"/>
        <v>20.0097095</v>
      </c>
      <c r="N34" s="130">
        <f t="shared" si="8"/>
        <v>57.001476000000004</v>
      </c>
      <c r="O34" s="130">
        <f t="shared" si="8"/>
        <v>20.159771999999997</v>
      </c>
      <c r="P34" s="130">
        <f t="shared" si="8"/>
        <v>41.443933</v>
      </c>
      <c r="Q34" s="130">
        <f t="shared" si="8"/>
        <v>14.0100894</v>
      </c>
      <c r="R34" s="130">
        <f>SUM(D34+F34+H34+J34+L34+N34+P34)</f>
        <v>367.94393393333337</v>
      </c>
      <c r="S34" s="130">
        <f>SUM(E34+G34+I34+K34+M34+O34+Q34)+0.000001</f>
        <v>126.78814324866664</v>
      </c>
      <c r="T34" s="45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19" ht="12.75">
      <c r="B35" s="1"/>
      <c r="C35" s="40"/>
      <c r="D35" s="12"/>
      <c r="E35" s="12"/>
      <c r="F35" s="10"/>
      <c r="G35" s="20"/>
      <c r="H35" s="10"/>
      <c r="I35" s="10"/>
      <c r="J35" s="46"/>
      <c r="K35" s="46"/>
      <c r="L35" s="17"/>
      <c r="M35" s="84"/>
      <c r="N35" s="10"/>
      <c r="O35" s="46"/>
      <c r="P35" s="10"/>
      <c r="Q35" s="46"/>
      <c r="R35" s="46"/>
      <c r="S35" s="46"/>
    </row>
    <row r="36" spans="2:19" ht="12.75">
      <c r="B36" s="31"/>
      <c r="G36" s="45"/>
      <c r="I36" s="44"/>
      <c r="J36" s="44"/>
      <c r="K36" s="44"/>
      <c r="L36" s="50"/>
      <c r="M36" s="50"/>
      <c r="N36" s="44"/>
      <c r="O36" s="44"/>
      <c r="P36" s="44"/>
      <c r="Q36" s="44"/>
      <c r="R36" s="44"/>
      <c r="S36" s="44"/>
    </row>
    <row r="37" spans="2:19" ht="12.75">
      <c r="B37" s="32"/>
      <c r="C37" s="39"/>
      <c r="G37" s="45"/>
      <c r="I37" s="44"/>
      <c r="O37" s="44"/>
      <c r="Q37" s="44"/>
      <c r="S37" s="44"/>
    </row>
    <row r="38" spans="2:17" ht="12.75">
      <c r="B38" s="33"/>
      <c r="G38" s="45"/>
      <c r="I38" s="44"/>
      <c r="K38" s="44"/>
      <c r="M38" s="50"/>
      <c r="O38" s="44"/>
      <c r="Q38" s="44"/>
    </row>
    <row r="41" ht="12.75">
      <c r="P41" s="44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2000-2006&amp;Rmodifica 11/2004
anticipi 12,5%
misure forestali
misura 6</oddHeader>
    <oddFooter>&amp;L&amp;P
&amp;N&amp;C&amp;"Arial Narrow,Normale"&amp;10&amp;F&amp;R&amp;A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>
    <tabColor indexed="32"/>
    <pageSetUpPr fitToPage="1"/>
  </sheetPr>
  <dimension ref="A1:AO37"/>
  <sheetViews>
    <sheetView showGridLines="0" showZeros="0" workbookViewId="0" topLeftCell="A5">
      <pane xSplit="3" ySplit="3" topLeftCell="P19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140625" defaultRowHeight="12"/>
  <cols>
    <col min="1" max="1" width="7.140625" style="32" bestFit="1" customWidth="1"/>
    <col min="2" max="2" width="8.421875" style="32" bestFit="1" customWidth="1"/>
    <col min="3" max="3" width="38.00390625" style="41" customWidth="1"/>
    <col min="4" max="5" width="10.28125" style="19" bestFit="1" customWidth="1"/>
    <col min="6" max="6" width="6.8515625" style="19" bestFit="1" customWidth="1"/>
    <col min="7" max="7" width="10.28125" style="19" bestFit="1" customWidth="1"/>
    <col min="8" max="8" width="10.00390625" style="19" bestFit="1" customWidth="1"/>
    <col min="9" max="9" width="9.7109375" style="19" bestFit="1" customWidth="1"/>
    <col min="10" max="10" width="10.28125" style="19" bestFit="1" customWidth="1"/>
    <col min="11" max="15" width="10.00390625" style="19" bestFit="1" customWidth="1"/>
    <col min="16" max="18" width="10.00390625" style="88" bestFit="1" customWidth="1"/>
    <col min="19" max="24" width="9.7109375" style="19" bestFit="1" customWidth="1"/>
    <col min="25" max="27" width="10.7109375" style="19" bestFit="1" customWidth="1"/>
    <col min="28" max="28" width="10.421875" style="26" bestFit="1" customWidth="1"/>
    <col min="29" max="29" width="8.57421875" style="26" customWidth="1"/>
    <col min="30" max="16384" width="9.140625" style="19" customWidth="1"/>
  </cols>
  <sheetData>
    <row r="1" spans="1:41" s="1" customFormat="1" ht="12.75">
      <c r="A1" s="3" t="s">
        <v>44</v>
      </c>
      <c r="B1" s="22"/>
      <c r="D1" s="11"/>
      <c r="E1" s="11"/>
      <c r="F1" s="4"/>
      <c r="G1" s="9"/>
      <c r="H1" s="4"/>
      <c r="I1" s="4"/>
      <c r="J1" s="4"/>
      <c r="K1" s="4"/>
      <c r="L1" s="16"/>
      <c r="M1" s="1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1" customFormat="1" ht="12.75">
      <c r="A2" s="3"/>
      <c r="B2" s="22"/>
      <c r="D2" s="11"/>
      <c r="E2" s="11"/>
      <c r="F2" s="4"/>
      <c r="G2" s="9"/>
      <c r="H2" s="4"/>
      <c r="I2" s="4"/>
      <c r="J2" s="4"/>
      <c r="K2" s="4"/>
      <c r="L2" s="16"/>
      <c r="M2" s="1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1" customFormat="1" ht="12.75">
      <c r="A3" s="23" t="s">
        <v>80</v>
      </c>
      <c r="B3" s="30"/>
      <c r="D3" s="11"/>
      <c r="E3" s="11"/>
      <c r="F3" s="4"/>
      <c r="G3" s="9"/>
      <c r="H3" s="4"/>
      <c r="I3" s="4"/>
      <c r="J3" s="44"/>
      <c r="K3" s="4"/>
      <c r="L3" s="16"/>
      <c r="M3" s="1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2:41" s="1" customFormat="1" ht="13.5" thickBot="1">
      <c r="B4" s="2"/>
      <c r="D4" s="11"/>
      <c r="E4" s="11"/>
      <c r="F4" s="4"/>
      <c r="G4" s="9"/>
      <c r="H4" s="4"/>
      <c r="I4" s="4"/>
      <c r="J4" s="4"/>
      <c r="K4" s="4"/>
      <c r="L4" s="16"/>
      <c r="M4" s="1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29" s="28" customFormat="1" ht="12">
      <c r="A5" s="103"/>
      <c r="B5" s="104"/>
      <c r="C5" s="105"/>
      <c r="D5" s="166" t="s">
        <v>6</v>
      </c>
      <c r="E5" s="167"/>
      <c r="F5" s="168"/>
      <c r="G5" s="166" t="s">
        <v>6</v>
      </c>
      <c r="H5" s="167"/>
      <c r="I5" s="168"/>
      <c r="J5" s="166" t="s">
        <v>6</v>
      </c>
      <c r="K5" s="167"/>
      <c r="L5" s="168"/>
      <c r="M5" s="166" t="s">
        <v>6</v>
      </c>
      <c r="N5" s="167"/>
      <c r="O5" s="168"/>
      <c r="P5" s="166" t="s">
        <v>6</v>
      </c>
      <c r="Q5" s="167"/>
      <c r="R5" s="168"/>
      <c r="S5" s="176" t="s">
        <v>6</v>
      </c>
      <c r="T5" s="172"/>
      <c r="U5" s="172"/>
      <c r="V5" s="176" t="s">
        <v>6</v>
      </c>
      <c r="W5" s="172"/>
      <c r="X5" s="173"/>
      <c r="Y5" s="172" t="s">
        <v>1</v>
      </c>
      <c r="Z5" s="172"/>
      <c r="AA5" s="173"/>
      <c r="AB5" s="54"/>
      <c r="AC5" s="54"/>
    </row>
    <row r="6" spans="1:29" s="28" customFormat="1" ht="12">
      <c r="A6" s="106" t="s">
        <v>69</v>
      </c>
      <c r="B6" s="107" t="s">
        <v>71</v>
      </c>
      <c r="C6" s="108" t="s">
        <v>0</v>
      </c>
      <c r="D6" s="169">
        <v>2000</v>
      </c>
      <c r="E6" s="170"/>
      <c r="F6" s="171"/>
      <c r="G6" s="169">
        <v>2001</v>
      </c>
      <c r="H6" s="170"/>
      <c r="I6" s="171"/>
      <c r="J6" s="169">
        <v>2002</v>
      </c>
      <c r="K6" s="170"/>
      <c r="L6" s="171"/>
      <c r="M6" s="169">
        <v>2003</v>
      </c>
      <c r="N6" s="170"/>
      <c r="O6" s="171"/>
      <c r="P6" s="169">
        <v>2004</v>
      </c>
      <c r="Q6" s="170"/>
      <c r="R6" s="171"/>
      <c r="S6" s="177">
        <v>2005</v>
      </c>
      <c r="T6" s="174"/>
      <c r="U6" s="174"/>
      <c r="V6" s="177">
        <v>2006</v>
      </c>
      <c r="W6" s="174"/>
      <c r="X6" s="175"/>
      <c r="Y6" s="174" t="s">
        <v>50</v>
      </c>
      <c r="Z6" s="174"/>
      <c r="AA6" s="175"/>
      <c r="AB6" s="54"/>
      <c r="AC6" s="54"/>
    </row>
    <row r="7" spans="1:29" ht="36">
      <c r="A7" s="109" t="s">
        <v>70</v>
      </c>
      <c r="B7" s="110" t="s">
        <v>79</v>
      </c>
      <c r="C7" s="111"/>
      <c r="D7" s="55" t="s">
        <v>41</v>
      </c>
      <c r="E7" s="56" t="s">
        <v>3</v>
      </c>
      <c r="F7" s="57" t="s">
        <v>51</v>
      </c>
      <c r="G7" s="58" t="s">
        <v>41</v>
      </c>
      <c r="H7" s="59" t="s">
        <v>3</v>
      </c>
      <c r="I7" s="57" t="s">
        <v>51</v>
      </c>
      <c r="J7" s="58" t="s">
        <v>41</v>
      </c>
      <c r="K7" s="59" t="s">
        <v>3</v>
      </c>
      <c r="L7" s="57" t="s">
        <v>51</v>
      </c>
      <c r="M7" s="58" t="s">
        <v>41</v>
      </c>
      <c r="N7" s="59" t="s">
        <v>3</v>
      </c>
      <c r="O7" s="57" t="s">
        <v>51</v>
      </c>
      <c r="P7" s="58" t="s">
        <v>41</v>
      </c>
      <c r="Q7" s="59" t="s">
        <v>3</v>
      </c>
      <c r="R7" s="57" t="s">
        <v>51</v>
      </c>
      <c r="S7" s="112" t="s">
        <v>41</v>
      </c>
      <c r="T7" s="113" t="s">
        <v>3</v>
      </c>
      <c r="U7" s="114" t="s">
        <v>51</v>
      </c>
      <c r="V7" s="112" t="s">
        <v>41</v>
      </c>
      <c r="W7" s="113" t="s">
        <v>3</v>
      </c>
      <c r="X7" s="115" t="s">
        <v>51</v>
      </c>
      <c r="Y7" s="116" t="s">
        <v>41</v>
      </c>
      <c r="Z7" s="113" t="s">
        <v>3</v>
      </c>
      <c r="AA7" s="117" t="s">
        <v>51</v>
      </c>
      <c r="AB7" s="60"/>
      <c r="AC7" s="60"/>
    </row>
    <row r="8" spans="1:29" ht="24">
      <c r="A8" s="118">
        <v>1</v>
      </c>
      <c r="B8" s="119" t="s">
        <v>52</v>
      </c>
      <c r="C8" s="61" t="s">
        <v>14</v>
      </c>
      <c r="D8" s="137">
        <v>0.117857</v>
      </c>
      <c r="E8" s="138">
        <f aca="true" t="shared" si="0" ref="E8:E23">+D8</f>
        <v>0.117857</v>
      </c>
      <c r="F8" s="139">
        <f>0.117857-D8</f>
        <v>0</v>
      </c>
      <c r="G8" s="137">
        <f>2.033958</f>
        <v>2.033958</v>
      </c>
      <c r="H8" s="138">
        <v>0.677918</v>
      </c>
      <c r="I8" s="139">
        <f>4.309-G8</f>
        <v>2.275042</v>
      </c>
      <c r="J8" s="137">
        <v>2.770229</v>
      </c>
      <c r="K8" s="138">
        <v>0.923317</v>
      </c>
      <c r="L8" s="139">
        <f>5.923-J8</f>
        <v>3.152771</v>
      </c>
      <c r="M8" s="137">
        <v>4.223983</v>
      </c>
      <c r="N8" s="138">
        <v>1.407853</v>
      </c>
      <c r="O8" s="139">
        <f>9.827938-M8</f>
        <v>5.603955</v>
      </c>
      <c r="P8" s="137">
        <v>4.007065</v>
      </c>
      <c r="Q8" s="138">
        <v>1.335565</v>
      </c>
      <c r="R8" s="139">
        <f>8.905-P8</f>
        <v>4.8979349999999995</v>
      </c>
      <c r="S8" s="140">
        <v>3.375</v>
      </c>
      <c r="T8" s="141">
        <v>1.125</v>
      </c>
      <c r="U8" s="142">
        <f>7.5-S8</f>
        <v>4.125</v>
      </c>
      <c r="V8" s="140">
        <v>0.661909</v>
      </c>
      <c r="W8" s="141">
        <v>0.14249</v>
      </c>
      <c r="X8" s="143">
        <f>1.617539-V8</f>
        <v>0.9556300000000001</v>
      </c>
      <c r="Y8" s="144">
        <f>+V8+S8+P8+M8+J8+G8+D8</f>
        <v>17.190001000000002</v>
      </c>
      <c r="Z8" s="141">
        <f>+W8+T8+Q8+N8+K8+H8+E8</f>
        <v>5.7299999999999995</v>
      </c>
      <c r="AA8" s="143">
        <f>+X8+U8+R8+O8+L8+I8+F8</f>
        <v>21.010333</v>
      </c>
      <c r="AB8" s="69"/>
      <c r="AC8" s="62"/>
    </row>
    <row r="9" spans="1:29" ht="12">
      <c r="A9" s="118">
        <v>2</v>
      </c>
      <c r="B9" s="119" t="s">
        <v>53</v>
      </c>
      <c r="C9" s="61" t="s">
        <v>15</v>
      </c>
      <c r="D9" s="137">
        <v>0.03125</v>
      </c>
      <c r="E9" s="138">
        <f t="shared" si="0"/>
        <v>0.03125</v>
      </c>
      <c r="F9" s="139">
        <f>0.03125-D9</f>
        <v>0</v>
      </c>
      <c r="G9" s="137">
        <v>0.575</v>
      </c>
      <c r="H9" s="138">
        <v>0.2875</v>
      </c>
      <c r="I9" s="139">
        <f>0.575-G9</f>
        <v>0</v>
      </c>
      <c r="J9" s="137">
        <v>1.4975</v>
      </c>
      <c r="K9" s="138">
        <v>0.74875</v>
      </c>
      <c r="L9" s="139">
        <f>1.4975-J9</f>
        <v>0</v>
      </c>
      <c r="M9" s="137">
        <v>1.1025</v>
      </c>
      <c r="N9" s="138">
        <v>0.55125</v>
      </c>
      <c r="O9" s="139">
        <f>1.1025-M9</f>
        <v>0</v>
      </c>
      <c r="P9" s="137">
        <v>1.414</v>
      </c>
      <c r="Q9" s="138">
        <v>0.707</v>
      </c>
      <c r="R9" s="139">
        <f>1.414-P9</f>
        <v>0</v>
      </c>
      <c r="S9" s="140">
        <v>0</v>
      </c>
      <c r="T9" s="141">
        <v>0</v>
      </c>
      <c r="U9" s="142">
        <v>0</v>
      </c>
      <c r="V9" s="140">
        <v>1.231751</v>
      </c>
      <c r="W9" s="141">
        <v>0.60025</v>
      </c>
      <c r="X9" s="143">
        <f>1.231751-V9</f>
        <v>0</v>
      </c>
      <c r="Y9" s="144">
        <f aca="true" t="shared" si="1" ref="Y9:Y27">+V9+S9+P9+M9+J9+G9+D9</f>
        <v>5.8520010000000005</v>
      </c>
      <c r="Z9" s="141">
        <f>+W9+T9+Q9+N9+K9+H9+E9</f>
        <v>2.9259999999999997</v>
      </c>
      <c r="AA9" s="143">
        <f aca="true" t="shared" si="2" ref="AA9:AA26">+X9+U9+R9+O9+L9+I9+F9</f>
        <v>0</v>
      </c>
      <c r="AB9" s="69"/>
      <c r="AC9" s="62"/>
    </row>
    <row r="10" spans="1:29" ht="12">
      <c r="A10" s="118">
        <v>3</v>
      </c>
      <c r="B10" s="119" t="s">
        <v>54</v>
      </c>
      <c r="C10" s="61" t="s">
        <v>16</v>
      </c>
      <c r="D10" s="137">
        <v>0.006696</v>
      </c>
      <c r="E10" s="138">
        <f t="shared" si="0"/>
        <v>0.006696</v>
      </c>
      <c r="F10" s="139">
        <f>0.006696-D10</f>
        <v>0</v>
      </c>
      <c r="G10" s="137">
        <v>0</v>
      </c>
      <c r="H10" s="138">
        <v>0</v>
      </c>
      <c r="I10" s="139"/>
      <c r="J10" s="137">
        <v>0</v>
      </c>
      <c r="K10" s="138">
        <v>0</v>
      </c>
      <c r="L10" s="139">
        <v>0</v>
      </c>
      <c r="M10" s="137">
        <v>0</v>
      </c>
      <c r="N10" s="138">
        <v>0</v>
      </c>
      <c r="O10" s="139">
        <v>0</v>
      </c>
      <c r="P10" s="137">
        <v>0</v>
      </c>
      <c r="Q10" s="138">
        <v>0</v>
      </c>
      <c r="R10" s="139">
        <v>0</v>
      </c>
      <c r="S10" s="140">
        <v>0</v>
      </c>
      <c r="T10" s="141">
        <v>0</v>
      </c>
      <c r="U10" s="142"/>
      <c r="V10" s="140">
        <v>-0.006696</v>
      </c>
      <c r="W10" s="141">
        <f>+V10</f>
        <v>-0.006696</v>
      </c>
      <c r="X10" s="143">
        <f>0.006696--V10</f>
        <v>0</v>
      </c>
      <c r="Y10" s="144">
        <f t="shared" si="1"/>
        <v>0</v>
      </c>
      <c r="Z10" s="141">
        <f aca="true" t="shared" si="3" ref="Z10:Z27">+W10+T10+Q10+N10+K10+H10+E10</f>
        <v>0</v>
      </c>
      <c r="AA10" s="143">
        <v>0</v>
      </c>
      <c r="AB10" s="69"/>
      <c r="AC10" s="62"/>
    </row>
    <row r="11" spans="1:29" ht="12">
      <c r="A11" s="118"/>
      <c r="B11" s="119"/>
      <c r="C11" s="61" t="s">
        <v>76</v>
      </c>
      <c r="D11" s="137"/>
      <c r="E11" s="138"/>
      <c r="F11" s="139"/>
      <c r="G11" s="137"/>
      <c r="H11" s="138"/>
      <c r="I11" s="139"/>
      <c r="J11" s="137"/>
      <c r="K11" s="138"/>
      <c r="L11" s="139"/>
      <c r="M11" s="137"/>
      <c r="N11" s="138"/>
      <c r="O11" s="139"/>
      <c r="P11" s="137"/>
      <c r="Q11" s="138"/>
      <c r="R11" s="139"/>
      <c r="S11" s="140"/>
      <c r="T11" s="141"/>
      <c r="U11" s="142"/>
      <c r="V11" s="140">
        <v>0</v>
      </c>
      <c r="W11" s="141">
        <v>0</v>
      </c>
      <c r="X11" s="143"/>
      <c r="Y11" s="144"/>
      <c r="Z11" s="141"/>
      <c r="AA11" s="143"/>
      <c r="AB11" s="69"/>
      <c r="AC11" s="62"/>
    </row>
    <row r="12" spans="1:29" ht="12">
      <c r="A12" s="118">
        <v>4</v>
      </c>
      <c r="B12" s="119" t="s">
        <v>55</v>
      </c>
      <c r="C12" s="61" t="s">
        <v>17</v>
      </c>
      <c r="D12" s="137">
        <v>0.001786</v>
      </c>
      <c r="E12" s="138">
        <f t="shared" si="0"/>
        <v>0.001786</v>
      </c>
      <c r="F12" s="139">
        <f>0.001786-D12</f>
        <v>0</v>
      </c>
      <c r="G12" s="137">
        <v>0</v>
      </c>
      <c r="H12" s="138">
        <v>0</v>
      </c>
      <c r="I12" s="139"/>
      <c r="J12" s="137">
        <v>0</v>
      </c>
      <c r="K12" s="138">
        <v>0</v>
      </c>
      <c r="L12" s="139">
        <v>0</v>
      </c>
      <c r="M12" s="137">
        <v>0</v>
      </c>
      <c r="N12" s="138">
        <v>0</v>
      </c>
      <c r="O12" s="139">
        <v>0</v>
      </c>
      <c r="P12" s="137">
        <v>0</v>
      </c>
      <c r="Q12" s="138">
        <v>0</v>
      </c>
      <c r="R12" s="139">
        <v>0</v>
      </c>
      <c r="S12" s="140">
        <v>0</v>
      </c>
      <c r="T12" s="141">
        <v>0</v>
      </c>
      <c r="U12" s="142"/>
      <c r="V12" s="140">
        <v>-0.001786</v>
      </c>
      <c r="W12" s="141">
        <v>-0.001786</v>
      </c>
      <c r="X12" s="143">
        <f>-0.001786-V12</f>
        <v>0</v>
      </c>
      <c r="Y12" s="144">
        <f t="shared" si="1"/>
        <v>0</v>
      </c>
      <c r="Z12" s="141">
        <f t="shared" si="3"/>
        <v>0</v>
      </c>
      <c r="AA12" s="143">
        <v>0</v>
      </c>
      <c r="AB12" s="69"/>
      <c r="AC12" s="62"/>
    </row>
    <row r="13" spans="1:29" ht="48">
      <c r="A13" s="118" t="s">
        <v>21</v>
      </c>
      <c r="B13" s="119" t="s">
        <v>68</v>
      </c>
      <c r="C13" s="61" t="s">
        <v>39</v>
      </c>
      <c r="D13" s="137">
        <v>0.040179</v>
      </c>
      <c r="E13" s="138">
        <f t="shared" si="0"/>
        <v>0.040179</v>
      </c>
      <c r="F13" s="139">
        <f>0.040179-D13</f>
        <v>0</v>
      </c>
      <c r="G13" s="137">
        <v>0.773047</v>
      </c>
      <c r="H13" s="138">
        <v>0.257657</v>
      </c>
      <c r="I13" s="139">
        <f>1.778-G13</f>
        <v>1.004953</v>
      </c>
      <c r="J13" s="137">
        <v>0.551885</v>
      </c>
      <c r="K13" s="138">
        <v>0.183191</v>
      </c>
      <c r="L13" s="139">
        <f>1.16-J13</f>
        <v>0.608115</v>
      </c>
      <c r="M13" s="137">
        <v>1.547971</v>
      </c>
      <c r="N13" s="138">
        <v>0.509997</v>
      </c>
      <c r="O13" s="139">
        <f>3.06755-M13</f>
        <v>1.5195790000000002</v>
      </c>
      <c r="P13" s="137">
        <v>1.7339</v>
      </c>
      <c r="Q13" s="138">
        <v>0.563</v>
      </c>
      <c r="R13" s="139">
        <f>3.153-P13</f>
        <v>1.4191</v>
      </c>
      <c r="S13" s="140">
        <v>3.373197</v>
      </c>
      <c r="T13" s="141">
        <v>1.112933</v>
      </c>
      <c r="U13" s="142">
        <f>6.95258-S13</f>
        <v>3.5793830000000004</v>
      </c>
      <c r="V13" s="140">
        <v>1.121818</v>
      </c>
      <c r="W13" s="141">
        <v>0.34704</v>
      </c>
      <c r="X13" s="143">
        <f>2.608357-V13</f>
        <v>1.4865389999999998</v>
      </c>
      <c r="Y13" s="144">
        <f t="shared" si="1"/>
        <v>9.141997</v>
      </c>
      <c r="Z13" s="141">
        <f t="shared" si="3"/>
        <v>3.013997</v>
      </c>
      <c r="AA13" s="143">
        <f t="shared" si="2"/>
        <v>9.617669000000001</v>
      </c>
      <c r="AB13" s="69"/>
      <c r="AC13" s="62"/>
    </row>
    <row r="14" spans="1:29" ht="36">
      <c r="A14" s="118" t="s">
        <v>11</v>
      </c>
      <c r="B14" s="119" t="s">
        <v>56</v>
      </c>
      <c r="C14" s="61" t="s">
        <v>18</v>
      </c>
      <c r="D14" s="137">
        <v>0.1455</v>
      </c>
      <c r="E14" s="138">
        <f t="shared" si="0"/>
        <v>0.1455</v>
      </c>
      <c r="F14" s="139">
        <f>0.1455-D14</f>
        <v>0</v>
      </c>
      <c r="G14" s="137">
        <v>0.067</v>
      </c>
      <c r="H14" s="138">
        <v>0.023</v>
      </c>
      <c r="I14" s="139">
        <f>0.125-G14</f>
        <v>0.057999999999999996</v>
      </c>
      <c r="J14" s="137">
        <v>0.458</v>
      </c>
      <c r="K14" s="138">
        <v>0.169</v>
      </c>
      <c r="L14" s="139">
        <f>1.075-J14</f>
        <v>0.617</v>
      </c>
      <c r="M14" s="137">
        <v>0.322093</v>
      </c>
      <c r="N14" s="138">
        <v>0.118347</v>
      </c>
      <c r="O14" s="139">
        <f>0.751441-M14</f>
        <v>0.429348</v>
      </c>
      <c r="P14" s="137">
        <v>0.431022</v>
      </c>
      <c r="Q14" s="138">
        <v>0.153333</v>
      </c>
      <c r="R14" s="139">
        <f>0.9-P14</f>
        <v>0.468978</v>
      </c>
      <c r="S14" s="140">
        <v>0.43121</v>
      </c>
      <c r="T14" s="141">
        <v>0.153333</v>
      </c>
      <c r="U14" s="142">
        <f>0.9-S14</f>
        <v>0.46879000000000004</v>
      </c>
      <c r="V14" s="140">
        <v>0.480175</v>
      </c>
      <c r="W14" s="141">
        <v>0.074988</v>
      </c>
      <c r="X14" s="143">
        <f>1.173059-V14</f>
        <v>0.692884</v>
      </c>
      <c r="Y14" s="144">
        <f>+V14+S14+P14+M14+J14+G14+D14</f>
        <v>2.3350000000000004</v>
      </c>
      <c r="Z14" s="141">
        <f>+W14+T14+Q14+N14+K14+H14+E14</f>
        <v>0.837501</v>
      </c>
      <c r="AA14" s="143">
        <f>+X14+U14+R14+O14+L14+I14+F14</f>
        <v>2.735</v>
      </c>
      <c r="AB14" s="69"/>
      <c r="AC14" s="62"/>
    </row>
    <row r="15" spans="1:29" ht="24">
      <c r="A15" s="118"/>
      <c r="B15" s="119" t="s">
        <v>57</v>
      </c>
      <c r="C15" s="61" t="s">
        <v>7</v>
      </c>
      <c r="D15" s="137">
        <v>0.019107</v>
      </c>
      <c r="E15" s="138">
        <f t="shared" si="0"/>
        <v>0.019107</v>
      </c>
      <c r="F15" s="139">
        <f>0.019107-D15</f>
        <v>0</v>
      </c>
      <c r="G15" s="137">
        <v>0</v>
      </c>
      <c r="H15" s="138">
        <v>0</v>
      </c>
      <c r="I15" s="139"/>
      <c r="J15" s="137">
        <v>0</v>
      </c>
      <c r="K15" s="138">
        <v>0</v>
      </c>
      <c r="L15" s="139">
        <v>0</v>
      </c>
      <c r="M15" s="137">
        <v>0</v>
      </c>
      <c r="N15" s="138">
        <v>0</v>
      </c>
      <c r="O15" s="139">
        <v>0</v>
      </c>
      <c r="P15" s="137">
        <v>0</v>
      </c>
      <c r="Q15" s="138">
        <v>0</v>
      </c>
      <c r="R15" s="139">
        <v>0</v>
      </c>
      <c r="S15" s="140">
        <v>0</v>
      </c>
      <c r="T15" s="141">
        <v>0</v>
      </c>
      <c r="U15" s="142">
        <v>0</v>
      </c>
      <c r="V15" s="140">
        <v>-0.019107</v>
      </c>
      <c r="W15" s="141">
        <v>-0.019107</v>
      </c>
      <c r="X15" s="143">
        <f>-0.019107-V15</f>
        <v>0</v>
      </c>
      <c r="Y15" s="144">
        <f t="shared" si="1"/>
        <v>0</v>
      </c>
      <c r="Z15" s="141">
        <f t="shared" si="3"/>
        <v>0</v>
      </c>
      <c r="AA15" s="143">
        <f t="shared" si="2"/>
        <v>0</v>
      </c>
      <c r="AB15" s="69"/>
      <c r="AC15" s="62"/>
    </row>
    <row r="16" spans="1:29" ht="12">
      <c r="A16" s="118"/>
      <c r="B16" s="119"/>
      <c r="C16" s="61" t="s">
        <v>77</v>
      </c>
      <c r="D16" s="137"/>
      <c r="E16" s="138"/>
      <c r="F16" s="139"/>
      <c r="G16" s="137"/>
      <c r="H16" s="138"/>
      <c r="I16" s="139"/>
      <c r="J16" s="137"/>
      <c r="K16" s="138"/>
      <c r="L16" s="139"/>
      <c r="M16" s="137"/>
      <c r="N16" s="138"/>
      <c r="O16" s="139"/>
      <c r="P16" s="137"/>
      <c r="Q16" s="138"/>
      <c r="R16" s="139"/>
      <c r="S16" s="140"/>
      <c r="T16" s="141"/>
      <c r="U16" s="142"/>
      <c r="V16" s="140"/>
      <c r="W16" s="141"/>
      <c r="X16" s="143"/>
      <c r="Y16" s="144"/>
      <c r="Z16" s="141"/>
      <c r="AA16" s="143"/>
      <c r="AB16" s="62"/>
      <c r="AC16" s="62"/>
    </row>
    <row r="17" spans="1:29" ht="36">
      <c r="A17" s="118">
        <v>6</v>
      </c>
      <c r="B17" s="119" t="s">
        <v>62</v>
      </c>
      <c r="C17" s="61" t="s">
        <v>25</v>
      </c>
      <c r="D17" s="137">
        <v>0.160714</v>
      </c>
      <c r="E17" s="138">
        <f t="shared" si="0"/>
        <v>0.160714</v>
      </c>
      <c r="F17" s="139">
        <f>0.160714-D17</f>
        <v>0</v>
      </c>
      <c r="G17" s="137">
        <v>5.566232</v>
      </c>
      <c r="H17" s="138">
        <v>2.087337</v>
      </c>
      <c r="I17" s="139">
        <f>13.91558-G17</f>
        <v>8.349347999999999</v>
      </c>
      <c r="J17" s="137">
        <v>5.703346</v>
      </c>
      <c r="K17" s="138">
        <v>2.138755</v>
      </c>
      <c r="L17" s="139">
        <f>14.258-J17</f>
        <v>8.554654</v>
      </c>
      <c r="M17" s="137">
        <v>8.939299</v>
      </c>
      <c r="N17" s="138">
        <v>3.352237</v>
      </c>
      <c r="O17" s="139">
        <f>22.348247-M17</f>
        <v>13.408948</v>
      </c>
      <c r="P17" s="137">
        <v>4.04</v>
      </c>
      <c r="Q17" s="138">
        <v>1.515</v>
      </c>
      <c r="R17" s="139">
        <f>10.1-P17</f>
        <v>6.06</v>
      </c>
      <c r="S17" s="140">
        <v>1.36037</v>
      </c>
      <c r="T17" s="141">
        <v>0.409942</v>
      </c>
      <c r="U17" s="142">
        <f>3.643694-S17</f>
        <v>2.283324</v>
      </c>
      <c r="V17" s="140">
        <v>2.410639</v>
      </c>
      <c r="W17" s="141">
        <v>0.811214</v>
      </c>
      <c r="X17" s="143">
        <f>6.025265-V17</f>
        <v>3.614626</v>
      </c>
      <c r="Y17" s="144">
        <f t="shared" si="1"/>
        <v>28.1806</v>
      </c>
      <c r="Z17" s="141">
        <f>+W17+T17+Q17+N17+K17+H17+E17</f>
        <v>10.475199</v>
      </c>
      <c r="AA17" s="143">
        <f t="shared" si="2"/>
        <v>42.2709</v>
      </c>
      <c r="AB17" s="69"/>
      <c r="AC17" s="62"/>
    </row>
    <row r="18" spans="1:29" ht="36">
      <c r="A18" s="118">
        <v>7</v>
      </c>
      <c r="B18" s="119" t="s">
        <v>63</v>
      </c>
      <c r="C18" s="61" t="s">
        <v>26</v>
      </c>
      <c r="D18" s="137">
        <v>0.004464</v>
      </c>
      <c r="E18" s="138">
        <f t="shared" si="0"/>
        <v>0.004464</v>
      </c>
      <c r="F18" s="139">
        <f>0.004464-D18</f>
        <v>0</v>
      </c>
      <c r="G18" s="137">
        <v>0</v>
      </c>
      <c r="H18" s="138">
        <v>0</v>
      </c>
      <c r="I18" s="139"/>
      <c r="J18" s="137">
        <v>0</v>
      </c>
      <c r="K18" s="138">
        <v>0</v>
      </c>
      <c r="L18" s="139">
        <v>0</v>
      </c>
      <c r="M18" s="137">
        <v>0</v>
      </c>
      <c r="N18" s="138">
        <v>0</v>
      </c>
      <c r="O18" s="139">
        <v>0</v>
      </c>
      <c r="P18" s="137">
        <v>0</v>
      </c>
      <c r="Q18" s="138">
        <v>0</v>
      </c>
      <c r="R18" s="139">
        <v>0</v>
      </c>
      <c r="S18" s="140">
        <v>0</v>
      </c>
      <c r="T18" s="141">
        <v>0</v>
      </c>
      <c r="U18" s="142">
        <v>0</v>
      </c>
      <c r="V18" s="140">
        <v>-0.004464</v>
      </c>
      <c r="W18" s="141">
        <v>-0.004464</v>
      </c>
      <c r="X18" s="143">
        <f>-0.004464-V18</f>
        <v>0</v>
      </c>
      <c r="Y18" s="144">
        <f t="shared" si="1"/>
        <v>0</v>
      </c>
      <c r="Z18" s="141">
        <f t="shared" si="3"/>
        <v>0</v>
      </c>
      <c r="AA18" s="143">
        <v>0</v>
      </c>
      <c r="AB18" s="69"/>
      <c r="AC18" s="62"/>
    </row>
    <row r="19" spans="1:29" ht="12">
      <c r="A19" s="118">
        <v>8</v>
      </c>
      <c r="B19" s="119" t="s">
        <v>58</v>
      </c>
      <c r="C19" s="61" t="s">
        <v>27</v>
      </c>
      <c r="D19" s="137">
        <v>0.006696</v>
      </c>
      <c r="E19" s="138">
        <f t="shared" si="0"/>
        <v>0.006696</v>
      </c>
      <c r="F19" s="139">
        <f>0.006696-D19</f>
        <v>0</v>
      </c>
      <c r="G19" s="137">
        <v>0.075</v>
      </c>
      <c r="H19" s="138">
        <v>0.0375</v>
      </c>
      <c r="I19" s="139">
        <f>0.075-G19</f>
        <v>0</v>
      </c>
      <c r="J19" s="137">
        <v>0.135</v>
      </c>
      <c r="K19" s="138">
        <v>0.0675</v>
      </c>
      <c r="L19" s="139">
        <f>0.135-J19</f>
        <v>0</v>
      </c>
      <c r="M19" s="137">
        <v>0.135</v>
      </c>
      <c r="N19" s="138">
        <v>0.0675</v>
      </c>
      <c r="O19" s="139">
        <f>0.135-M19</f>
        <v>0</v>
      </c>
      <c r="P19" s="137">
        <v>0.135</v>
      </c>
      <c r="Q19" s="138">
        <v>0.068</v>
      </c>
      <c r="R19" s="139">
        <f>0.135-P19</f>
        <v>0</v>
      </c>
      <c r="S19" s="140">
        <v>0.1355</v>
      </c>
      <c r="T19" s="141">
        <v>0.068</v>
      </c>
      <c r="U19" s="142">
        <f>0.1355-S19</f>
        <v>0</v>
      </c>
      <c r="V19" s="140">
        <v>0.127804</v>
      </c>
      <c r="W19" s="141">
        <v>0.059804</v>
      </c>
      <c r="X19" s="143">
        <f>0.127804-V19</f>
        <v>0</v>
      </c>
      <c r="Y19" s="144">
        <f t="shared" si="1"/>
        <v>0.75</v>
      </c>
      <c r="Z19" s="141">
        <f>+W19+T19+Q19+N19+K19+H19+E19</f>
        <v>0.37499999999999994</v>
      </c>
      <c r="AA19" s="143">
        <f t="shared" si="2"/>
        <v>0</v>
      </c>
      <c r="AB19" s="69"/>
      <c r="AC19" s="62"/>
    </row>
    <row r="20" spans="1:29" ht="48">
      <c r="A20" s="118">
        <v>9</v>
      </c>
      <c r="B20" s="119" t="s">
        <v>59</v>
      </c>
      <c r="C20" s="61" t="s">
        <v>28</v>
      </c>
      <c r="D20" s="137">
        <v>0.005357</v>
      </c>
      <c r="E20" s="138">
        <f t="shared" si="0"/>
        <v>0.005357</v>
      </c>
      <c r="F20" s="139">
        <f>0.005357-D20</f>
        <v>0</v>
      </c>
      <c r="G20" s="137">
        <v>0</v>
      </c>
      <c r="H20" s="138">
        <v>0</v>
      </c>
      <c r="I20" s="139"/>
      <c r="J20" s="137">
        <v>0</v>
      </c>
      <c r="K20" s="138">
        <v>0</v>
      </c>
      <c r="L20" s="139">
        <v>0</v>
      </c>
      <c r="M20" s="137">
        <v>0</v>
      </c>
      <c r="N20" s="138">
        <v>0</v>
      </c>
      <c r="O20" s="139">
        <v>0</v>
      </c>
      <c r="P20" s="137">
        <v>0</v>
      </c>
      <c r="Q20" s="138">
        <v>0</v>
      </c>
      <c r="R20" s="139">
        <v>0</v>
      </c>
      <c r="S20" s="140">
        <v>0</v>
      </c>
      <c r="T20" s="141">
        <v>0</v>
      </c>
      <c r="U20" s="142">
        <f>0-S20</f>
        <v>0</v>
      </c>
      <c r="V20" s="140">
        <v>-0.005357</v>
      </c>
      <c r="W20" s="141">
        <v>-0.005357</v>
      </c>
      <c r="X20" s="143">
        <f>-0.005357-V20</f>
        <v>0</v>
      </c>
      <c r="Y20" s="144">
        <f t="shared" si="1"/>
        <v>0</v>
      </c>
      <c r="Z20" s="141">
        <f>+W20+T20+Q20+N20+K20+H20+E20</f>
        <v>0</v>
      </c>
      <c r="AA20" s="143">
        <f t="shared" si="2"/>
        <v>0</v>
      </c>
      <c r="AB20" s="69"/>
      <c r="AC20" s="62"/>
    </row>
    <row r="21" spans="1:29" ht="24">
      <c r="A21" s="118">
        <v>10</v>
      </c>
      <c r="B21" s="119" t="s">
        <v>64</v>
      </c>
      <c r="C21" s="61" t="s">
        <v>29</v>
      </c>
      <c r="D21" s="137">
        <v>0.005357</v>
      </c>
      <c r="E21" s="138">
        <f t="shared" si="0"/>
        <v>0.005357</v>
      </c>
      <c r="F21" s="139">
        <v>0</v>
      </c>
      <c r="G21" s="137">
        <v>0</v>
      </c>
      <c r="H21" s="138">
        <v>0</v>
      </c>
      <c r="I21" s="139"/>
      <c r="J21" s="137">
        <v>0</v>
      </c>
      <c r="K21" s="138">
        <v>0</v>
      </c>
      <c r="L21" s="139">
        <v>0</v>
      </c>
      <c r="M21" s="137">
        <v>0</v>
      </c>
      <c r="N21" s="138">
        <v>0</v>
      </c>
      <c r="O21" s="139">
        <v>0</v>
      </c>
      <c r="P21" s="137">
        <v>0</v>
      </c>
      <c r="Q21" s="138">
        <v>0</v>
      </c>
      <c r="R21" s="139">
        <v>0</v>
      </c>
      <c r="S21" s="140">
        <v>0</v>
      </c>
      <c r="T21" s="141">
        <v>0</v>
      </c>
      <c r="U21" s="142">
        <v>0</v>
      </c>
      <c r="V21" s="140">
        <v>-0.005357</v>
      </c>
      <c r="W21" s="141">
        <v>-0.005357</v>
      </c>
      <c r="X21" s="143">
        <f>-0.005357-V21</f>
        <v>0</v>
      </c>
      <c r="Y21" s="144">
        <f t="shared" si="1"/>
        <v>0</v>
      </c>
      <c r="Z21" s="141">
        <f t="shared" si="3"/>
        <v>0</v>
      </c>
      <c r="AA21" s="143">
        <v>0</v>
      </c>
      <c r="AB21" s="69"/>
      <c r="AC21" s="62"/>
    </row>
    <row r="22" spans="1:29" ht="36">
      <c r="A22" s="118">
        <v>11</v>
      </c>
      <c r="B22" s="119" t="s">
        <v>65</v>
      </c>
      <c r="C22" s="61" t="s">
        <v>30</v>
      </c>
      <c r="D22" s="137">
        <v>0.064286</v>
      </c>
      <c r="E22" s="138">
        <f t="shared" si="0"/>
        <v>0.064286</v>
      </c>
      <c r="F22" s="139">
        <f>0.064286-D22</f>
        <v>0</v>
      </c>
      <c r="G22" s="137">
        <v>0</v>
      </c>
      <c r="H22" s="138">
        <v>0</v>
      </c>
      <c r="I22" s="139"/>
      <c r="J22" s="137">
        <v>0.798089</v>
      </c>
      <c r="K22" s="138">
        <v>0.295293</v>
      </c>
      <c r="L22" s="139">
        <f>0.998-J22</f>
        <v>0.19991099999999995</v>
      </c>
      <c r="M22" s="137">
        <v>1.843607</v>
      </c>
      <c r="N22" s="138">
        <v>0.682134</v>
      </c>
      <c r="O22" s="139">
        <f>2.304508-M22</f>
        <v>0.4609009999999998</v>
      </c>
      <c r="P22" s="137">
        <v>1.993464</v>
      </c>
      <c r="Q22" s="138">
        <v>0.738</v>
      </c>
      <c r="R22" s="139">
        <f>2.491-P22</f>
        <v>0.4975360000000002</v>
      </c>
      <c r="S22" s="140">
        <v>3.2</v>
      </c>
      <c r="T22" s="141">
        <v>1.184</v>
      </c>
      <c r="U22" s="142">
        <f>4-S22</f>
        <v>0.7999999999999998</v>
      </c>
      <c r="V22" s="140">
        <v>1.820554</v>
      </c>
      <c r="W22" s="141">
        <v>0.636286</v>
      </c>
      <c r="X22" s="143">
        <f>2.292584-V22</f>
        <v>0.47203000000000017</v>
      </c>
      <c r="Y22" s="144">
        <f>+V22+S22+P22+M22+J22+G22+D22</f>
        <v>9.719999999999999</v>
      </c>
      <c r="Z22" s="141">
        <f t="shared" si="3"/>
        <v>3.599999</v>
      </c>
      <c r="AA22" s="143">
        <f>+X22+U22+R22+O22+L22+I22+F22</f>
        <v>2.430378</v>
      </c>
      <c r="AB22" s="69"/>
      <c r="AC22" s="62"/>
    </row>
    <row r="23" spans="1:29" ht="24">
      <c r="A23" s="118">
        <v>12</v>
      </c>
      <c r="B23" s="119" t="s">
        <v>66</v>
      </c>
      <c r="C23" s="61" t="s">
        <v>31</v>
      </c>
      <c r="D23" s="137">
        <v>0.108179</v>
      </c>
      <c r="E23" s="138">
        <f t="shared" si="0"/>
        <v>0.108179</v>
      </c>
      <c r="F23" s="139">
        <f>0.108179-D23</f>
        <v>0</v>
      </c>
      <c r="G23" s="137">
        <v>2.20775</v>
      </c>
      <c r="H23" s="138">
        <v>0.816426</v>
      </c>
      <c r="I23" s="139">
        <f>2.76-G23</f>
        <v>0.5522499999999999</v>
      </c>
      <c r="J23" s="137">
        <v>1.318378</v>
      </c>
      <c r="K23" s="138">
        <v>0.487536</v>
      </c>
      <c r="L23" s="139">
        <f>1.791-J23</f>
        <v>0.4726219999999999</v>
      </c>
      <c r="M23" s="137">
        <v>2.628532</v>
      </c>
      <c r="N23" s="138">
        <v>0.972031</v>
      </c>
      <c r="O23" s="139">
        <f>3.333611-M23</f>
        <v>0.705079</v>
      </c>
      <c r="P23" s="137">
        <v>2.106171</v>
      </c>
      <c r="Q23" s="138">
        <v>0.779</v>
      </c>
      <c r="R23" s="139">
        <f>3.343-P23</f>
        <v>1.2368290000000002</v>
      </c>
      <c r="S23" s="140">
        <v>4.032</v>
      </c>
      <c r="T23" s="141">
        <v>1.4912</v>
      </c>
      <c r="U23" s="142">
        <f>6.4-S23</f>
        <v>2.3680000000000003</v>
      </c>
      <c r="V23" s="140">
        <v>2.33999</v>
      </c>
      <c r="W23" s="141">
        <v>0.797628</v>
      </c>
      <c r="X23" s="143">
        <f>5.66324-V23</f>
        <v>3.3232500000000003</v>
      </c>
      <c r="Y23" s="144">
        <f t="shared" si="1"/>
        <v>14.741</v>
      </c>
      <c r="Z23" s="141">
        <f>+W23+T23+Q23+N23+K23+H23+E23</f>
        <v>5.452</v>
      </c>
      <c r="AA23" s="143">
        <f t="shared" si="2"/>
        <v>8.65803</v>
      </c>
      <c r="AB23" s="69"/>
      <c r="AC23" s="62"/>
    </row>
    <row r="24" spans="1:29" s="75" customFormat="1" ht="12">
      <c r="A24" s="120">
        <v>13</v>
      </c>
      <c r="B24" s="121" t="s">
        <v>60</v>
      </c>
      <c r="C24" s="73" t="s">
        <v>32</v>
      </c>
      <c r="D24" s="137">
        <f>1.12625+31.308258</f>
        <v>32.434508</v>
      </c>
      <c r="E24" s="138">
        <f>1.12625+15.654129</f>
        <v>16.780379</v>
      </c>
      <c r="F24" s="139"/>
      <c r="G24" s="137">
        <f>11.325084-0.003332+2.025077</f>
        <v>13.346829</v>
      </c>
      <c r="H24" s="138">
        <f>5.664208-0.003332+1.014326</f>
        <v>6.6752020000000005</v>
      </c>
      <c r="I24" s="139">
        <v>0</v>
      </c>
      <c r="J24" s="137">
        <f>16.953354+0.751701</f>
        <v>17.705055</v>
      </c>
      <c r="K24" s="138">
        <f>8.476677+0.375851</f>
        <v>8.852528000000001</v>
      </c>
      <c r="L24" s="139">
        <v>0</v>
      </c>
      <c r="M24" s="137">
        <f>16.12813+0.87946</f>
        <v>17.00759</v>
      </c>
      <c r="N24" s="138">
        <f>8.064065+0.43973</f>
        <v>8.503795</v>
      </c>
      <c r="O24" s="139">
        <v>0</v>
      </c>
      <c r="P24" s="137">
        <v>15.758418</v>
      </c>
      <c r="Q24" s="138">
        <v>7.879209</v>
      </c>
      <c r="R24" s="139">
        <f>15.758418-P24</f>
        <v>0</v>
      </c>
      <c r="S24" s="140">
        <v>17.757176</v>
      </c>
      <c r="T24" s="141">
        <v>8.878588</v>
      </c>
      <c r="U24" s="142">
        <f>17.757176-S24</f>
        <v>0</v>
      </c>
      <c r="V24" s="140">
        <v>12.130421</v>
      </c>
      <c r="W24" s="141">
        <v>5.500632</v>
      </c>
      <c r="X24" s="143">
        <f>12.130421-V24</f>
        <v>0</v>
      </c>
      <c r="Y24" s="144">
        <f t="shared" si="1"/>
        <v>126.139997</v>
      </c>
      <c r="Z24" s="141">
        <f t="shared" si="3"/>
        <v>63.070333000000005</v>
      </c>
      <c r="AA24" s="143">
        <f t="shared" si="2"/>
        <v>0</v>
      </c>
      <c r="AB24" s="69"/>
      <c r="AC24" s="74"/>
    </row>
    <row r="25" spans="1:29" s="75" customFormat="1" ht="12">
      <c r="A25" s="120"/>
      <c r="B25" s="121"/>
      <c r="C25" s="73" t="s">
        <v>78</v>
      </c>
      <c r="D25" s="137">
        <v>31.3082581</v>
      </c>
      <c r="E25" s="138">
        <v>15.65412905</v>
      </c>
      <c r="F25" s="139">
        <f>31.3082581-D25</f>
        <v>0</v>
      </c>
      <c r="G25" s="137">
        <f>2.0217454+0.003332</f>
        <v>2.0250774</v>
      </c>
      <c r="H25" s="138">
        <f>1.01099386+0.003332</f>
        <v>1.0143258599999998</v>
      </c>
      <c r="I25" s="139">
        <f>2.0217454+0.003332-G25</f>
        <v>0</v>
      </c>
      <c r="J25" s="137">
        <v>0.75170132</v>
      </c>
      <c r="K25" s="138">
        <v>0.37585066</v>
      </c>
      <c r="L25" s="139">
        <f>0.75170132-J25</f>
        <v>0</v>
      </c>
      <c r="M25" s="137">
        <v>0.87946</v>
      </c>
      <c r="N25" s="138">
        <v>0.43973</v>
      </c>
      <c r="O25" s="139">
        <f>0.87946-M25</f>
        <v>0</v>
      </c>
      <c r="P25" s="137">
        <v>0</v>
      </c>
      <c r="Q25" s="138">
        <v>0</v>
      </c>
      <c r="R25" s="139">
        <v>0</v>
      </c>
      <c r="S25" s="140">
        <v>0</v>
      </c>
      <c r="T25" s="141">
        <v>0</v>
      </c>
      <c r="U25" s="142">
        <v>0</v>
      </c>
      <c r="V25" s="140">
        <v>0</v>
      </c>
      <c r="W25" s="141">
        <v>0</v>
      </c>
      <c r="X25" s="143">
        <v>0</v>
      </c>
      <c r="Y25" s="144">
        <f t="shared" si="1"/>
        <v>34.96449682</v>
      </c>
      <c r="Z25" s="141">
        <f t="shared" si="3"/>
        <v>17.48403557</v>
      </c>
      <c r="AA25" s="143">
        <f t="shared" si="2"/>
        <v>0</v>
      </c>
      <c r="AB25" s="69"/>
      <c r="AC25" s="74"/>
    </row>
    <row r="26" spans="1:29" ht="36">
      <c r="A26" s="118">
        <v>14</v>
      </c>
      <c r="B26" s="119" t="s">
        <v>61</v>
      </c>
      <c r="C26" s="61" t="s">
        <v>33</v>
      </c>
      <c r="D26" s="137">
        <v>0.271072</v>
      </c>
      <c r="E26" s="138">
        <f>+D26</f>
        <v>0.271072</v>
      </c>
      <c r="F26" s="139">
        <f>0.271072-D26</f>
        <v>0</v>
      </c>
      <c r="G26" s="137">
        <v>3.945877</v>
      </c>
      <c r="H26" s="138">
        <v>1.972939</v>
      </c>
      <c r="I26" s="139">
        <f>3.945877-G26</f>
        <v>0</v>
      </c>
      <c r="J26" s="137">
        <v>6.53143</v>
      </c>
      <c r="K26" s="138">
        <v>3.265715</v>
      </c>
      <c r="L26" s="139">
        <f>6.53143-J26</f>
        <v>0</v>
      </c>
      <c r="M26" s="137">
        <v>7.791095</v>
      </c>
      <c r="N26" s="138">
        <v>3.895547</v>
      </c>
      <c r="O26" s="139">
        <f>7.791095-M26</f>
        <v>0</v>
      </c>
      <c r="P26" s="137">
        <v>7.558359</v>
      </c>
      <c r="Q26" s="138">
        <v>3.77918</v>
      </c>
      <c r="R26" s="139">
        <f>7.558359-P26</f>
        <v>0</v>
      </c>
      <c r="S26" s="140">
        <v>3.748051</v>
      </c>
      <c r="T26" s="141">
        <v>1.716789</v>
      </c>
      <c r="U26" s="142">
        <f>3.74805-S26+0.000001</f>
        <v>3.0431119761944753E-16</v>
      </c>
      <c r="V26" s="140">
        <v>0.472717</v>
      </c>
      <c r="W26" s="141">
        <v>0.236359</v>
      </c>
      <c r="X26" s="143">
        <f>0.472717-V26</f>
        <v>0</v>
      </c>
      <c r="Y26" s="144">
        <f>+V26+S26+P26+M26+J26+G26+D26</f>
        <v>30.318601</v>
      </c>
      <c r="Z26" s="141">
        <f>+W26+T26+Q26+N26+K26+H26+E26-0.000001</f>
        <v>15.1376</v>
      </c>
      <c r="AA26" s="143">
        <f t="shared" si="2"/>
        <v>3.0431119761944753E-16</v>
      </c>
      <c r="AB26" s="69"/>
      <c r="AC26" s="62"/>
    </row>
    <row r="27" spans="1:29" ht="48">
      <c r="A27" s="118" t="s">
        <v>8</v>
      </c>
      <c r="B27" s="119" t="s">
        <v>67</v>
      </c>
      <c r="C27" s="61" t="s">
        <v>34</v>
      </c>
      <c r="D27" s="137">
        <v>0.004357</v>
      </c>
      <c r="E27" s="138">
        <f>+D27</f>
        <v>0.004357</v>
      </c>
      <c r="F27" s="139">
        <f>0.004357-D27</f>
        <v>0</v>
      </c>
      <c r="G27" s="137">
        <v>0</v>
      </c>
      <c r="H27" s="138">
        <v>0</v>
      </c>
      <c r="I27" s="139"/>
      <c r="J27" s="137">
        <v>0</v>
      </c>
      <c r="K27" s="138">
        <v>0</v>
      </c>
      <c r="L27" s="139">
        <v>0</v>
      </c>
      <c r="M27" s="137">
        <v>0</v>
      </c>
      <c r="N27" s="138">
        <v>0</v>
      </c>
      <c r="O27" s="139">
        <v>0</v>
      </c>
      <c r="P27" s="137">
        <v>0</v>
      </c>
      <c r="Q27" s="138">
        <v>0</v>
      </c>
      <c r="R27" s="139">
        <v>0</v>
      </c>
      <c r="S27" s="140">
        <v>0</v>
      </c>
      <c r="T27" s="141">
        <v>0</v>
      </c>
      <c r="U27" s="142">
        <v>0</v>
      </c>
      <c r="V27" s="140">
        <v>-0.004357</v>
      </c>
      <c r="W27" s="141">
        <v>-0.004357</v>
      </c>
      <c r="X27" s="143">
        <f>-0.004357-V27</f>
        <v>0</v>
      </c>
      <c r="Y27" s="144">
        <f t="shared" si="1"/>
        <v>0</v>
      </c>
      <c r="Z27" s="141">
        <f t="shared" si="3"/>
        <v>0</v>
      </c>
      <c r="AA27" s="143">
        <v>0</v>
      </c>
      <c r="AB27" s="62"/>
      <c r="AC27" s="62"/>
    </row>
    <row r="28" spans="1:29" ht="48">
      <c r="A28" s="118" t="s">
        <v>36</v>
      </c>
      <c r="B28" s="119" t="s">
        <v>56</v>
      </c>
      <c r="C28" s="61" t="s">
        <v>35</v>
      </c>
      <c r="D28" s="137">
        <v>0</v>
      </c>
      <c r="E28" s="138">
        <v>0</v>
      </c>
      <c r="F28" s="139">
        <v>0</v>
      </c>
      <c r="G28" s="137">
        <v>1.164263</v>
      </c>
      <c r="H28" s="138">
        <v>0.465571</v>
      </c>
      <c r="I28" s="139">
        <f>2.909046-G28</f>
        <v>1.744783</v>
      </c>
      <c r="J28" s="137">
        <v>2.677405</v>
      </c>
      <c r="K28" s="138">
        <v>1.02254</v>
      </c>
      <c r="L28" s="139">
        <f>5.552014-J28</f>
        <v>2.874609</v>
      </c>
      <c r="M28" s="137">
        <v>5.117059</v>
      </c>
      <c r="N28" s="138">
        <v>1.895828</v>
      </c>
      <c r="O28" s="139">
        <f>8.930571-M28</f>
        <v>3.8135120000000002</v>
      </c>
      <c r="P28" s="137">
        <v>3.062091</v>
      </c>
      <c r="Q28" s="138">
        <v>1.134102</v>
      </c>
      <c r="R28" s="139">
        <f>5.348-P28</f>
        <v>2.2859089999999997</v>
      </c>
      <c r="S28" s="140">
        <v>4.417429</v>
      </c>
      <c r="T28" s="141">
        <v>1.570215</v>
      </c>
      <c r="U28" s="142">
        <f>5.964476-S28</f>
        <v>1.547047</v>
      </c>
      <c r="V28" s="140">
        <v>5.449165</v>
      </c>
      <c r="W28" s="141">
        <v>1.964062</v>
      </c>
      <c r="X28" s="143">
        <f>8.148321-V28</f>
        <v>2.6991559999999994</v>
      </c>
      <c r="Y28" s="144">
        <f>+V28+S28+P28+M28+J28+G28+D28</f>
        <v>21.887411999999998</v>
      </c>
      <c r="Z28" s="141">
        <f>+W28+T28+Q28+N28+K28+H28+E28</f>
        <v>8.052318</v>
      </c>
      <c r="AA28" s="143">
        <f>+X28+U28+R28+O28+L28+I28+F28</f>
        <v>14.965016</v>
      </c>
      <c r="AB28" s="69"/>
      <c r="AC28" s="62"/>
    </row>
    <row r="29" spans="1:29" s="42" customFormat="1" ht="24.75" customHeight="1" thickBot="1">
      <c r="A29" s="122"/>
      <c r="B29" s="123"/>
      <c r="C29" s="63" t="s">
        <v>72</v>
      </c>
      <c r="D29" s="145">
        <f>SUM(D8:D28)-D25</f>
        <v>33.427364999999995</v>
      </c>
      <c r="E29" s="146">
        <f>SUM(E8:E28)-E25</f>
        <v>17.773235999999997</v>
      </c>
      <c r="F29" s="147">
        <f>SUM(F15:F28)</f>
        <v>0</v>
      </c>
      <c r="G29" s="145">
        <f>SUM(G8:G28)+0.000001-G25</f>
        <v>29.754957</v>
      </c>
      <c r="H29" s="146">
        <f>SUM(H8:H28)-0.000001-H25</f>
        <v>13.301049000000003</v>
      </c>
      <c r="I29" s="147">
        <f>SUM(I8:I28)-0.000001</f>
        <v>13.984375</v>
      </c>
      <c r="J29" s="145">
        <f>SUM(J8:J28)-J25</f>
        <v>40.146316999999996</v>
      </c>
      <c r="K29" s="146">
        <f>SUM(K8:K28)-K25</f>
        <v>18.154124999999997</v>
      </c>
      <c r="L29" s="147">
        <f>SUM(L8:L28)+0.000001</f>
        <v>16.479683</v>
      </c>
      <c r="M29" s="145">
        <f>SUM(M8:M28)-0.000002-M25</f>
        <v>50.65872699999999</v>
      </c>
      <c r="N29" s="146">
        <f>SUM(N8:N28)+0.000001-N25</f>
        <v>21.956520000000005</v>
      </c>
      <c r="O29" s="147">
        <f>SUM(O8:O28)+0.000002</f>
        <v>25.941323999999998</v>
      </c>
      <c r="P29" s="148">
        <f>SUM(P8:P28)-P25</f>
        <v>42.23949</v>
      </c>
      <c r="Q29" s="149">
        <f>SUM(Q8:Q28)-Q25</f>
        <v>18.651388999999998</v>
      </c>
      <c r="R29" s="150">
        <f>SUM(R8:R28)</f>
        <v>16.866287</v>
      </c>
      <c r="S29" s="151">
        <f>SUM(S8:S28)</f>
        <v>41.829933</v>
      </c>
      <c r="T29" s="152">
        <f>SUM(T8:T28)</f>
        <v>17.71</v>
      </c>
      <c r="U29" s="153">
        <f>SUM(U8:U28)-0.000001</f>
        <v>15.171543000000002</v>
      </c>
      <c r="V29" s="151">
        <f>SUM(V8:V28)+0.001005</f>
        <v>28.200824</v>
      </c>
      <c r="W29" s="152">
        <f>SUM(W8:W28)</f>
        <v>11.123629000000001</v>
      </c>
      <c r="X29" s="153">
        <f>SUM(X8:X28)-0.001006</f>
        <v>13.243109</v>
      </c>
      <c r="Y29" s="151">
        <f>SUM(Y8:Y28)-Y25+0.001004</f>
        <v>266.257613</v>
      </c>
      <c r="Z29" s="152">
        <f>SUM(Z8:Z28)+0.000001-Z25</f>
        <v>118.66994799999998</v>
      </c>
      <c r="AA29" s="153">
        <f>SUM(AA8:AA28)-0.001005</f>
        <v>101.686321</v>
      </c>
      <c r="AB29" s="68"/>
      <c r="AC29" s="64"/>
    </row>
    <row r="30" spans="1:29" s="42" customFormat="1" ht="24.75" customHeight="1" thickBot="1">
      <c r="A30" s="124"/>
      <c r="B30" s="125"/>
      <c r="C30" s="63" t="s">
        <v>75</v>
      </c>
      <c r="D30" s="145"/>
      <c r="E30" s="146">
        <v>15.82</v>
      </c>
      <c r="F30" s="147"/>
      <c r="G30" s="145"/>
      <c r="H30" s="146">
        <v>16.21</v>
      </c>
      <c r="I30" s="147"/>
      <c r="J30" s="145"/>
      <c r="K30" s="146">
        <v>16.57</v>
      </c>
      <c r="L30" s="147"/>
      <c r="M30" s="145"/>
      <c r="N30" s="146">
        <v>16.94</v>
      </c>
      <c r="O30" s="147"/>
      <c r="P30" s="148"/>
      <c r="Q30" s="149">
        <v>17.32</v>
      </c>
      <c r="R30" s="150"/>
      <c r="S30" s="151"/>
      <c r="T30" s="152">
        <v>17.71</v>
      </c>
      <c r="U30" s="153"/>
      <c r="V30" s="151"/>
      <c r="W30" s="152">
        <v>18.1</v>
      </c>
      <c r="X30" s="153"/>
      <c r="Y30" s="151"/>
      <c r="Z30" s="152">
        <v>118.67</v>
      </c>
      <c r="AA30" s="153"/>
      <c r="AB30" s="64"/>
      <c r="AC30" s="64"/>
    </row>
    <row r="31" spans="1:29" s="42" customFormat="1" ht="24.75" customHeight="1" thickBot="1">
      <c r="A31" s="126"/>
      <c r="B31" s="127"/>
      <c r="C31" s="72" t="s">
        <v>73</v>
      </c>
      <c r="D31" s="145"/>
      <c r="E31" s="146"/>
      <c r="F31" s="147"/>
      <c r="G31" s="145"/>
      <c r="H31" s="146">
        <f>+H30-H29</f>
        <v>2.9089509999999983</v>
      </c>
      <c r="I31" s="147"/>
      <c r="J31" s="145"/>
      <c r="K31" s="146"/>
      <c r="L31" s="147"/>
      <c r="M31" s="145"/>
      <c r="N31" s="146"/>
      <c r="O31" s="147"/>
      <c r="P31" s="148"/>
      <c r="Q31" s="149"/>
      <c r="R31" s="150"/>
      <c r="S31" s="151"/>
      <c r="T31" s="152">
        <f>+T30-T29</f>
        <v>0</v>
      </c>
      <c r="U31" s="153"/>
      <c r="V31" s="151"/>
      <c r="W31" s="152">
        <f>+W30-W29</f>
        <v>6.976371</v>
      </c>
      <c r="X31" s="153"/>
      <c r="Y31" s="151"/>
      <c r="Z31" s="152">
        <f>SUM(D31:Y31)</f>
        <v>9.885321999999999</v>
      </c>
      <c r="AA31" s="153"/>
      <c r="AB31" s="64"/>
      <c r="AC31" s="64"/>
    </row>
    <row r="32" spans="1:29" s="42" customFormat="1" ht="24.75" customHeight="1" thickBot="1">
      <c r="A32" s="126"/>
      <c r="B32" s="127"/>
      <c r="C32" s="72" t="s">
        <v>74</v>
      </c>
      <c r="D32" s="154"/>
      <c r="E32" s="146">
        <f>+E29-E30</f>
        <v>1.9532359999999969</v>
      </c>
      <c r="F32" s="147"/>
      <c r="G32" s="145"/>
      <c r="H32" s="146"/>
      <c r="I32" s="147"/>
      <c r="J32" s="145"/>
      <c r="K32" s="146">
        <f>+K29-K30</f>
        <v>1.5841249999999967</v>
      </c>
      <c r="L32" s="147"/>
      <c r="M32" s="145"/>
      <c r="N32" s="146">
        <f>+N29-N30</f>
        <v>5.016520000000003</v>
      </c>
      <c r="O32" s="147"/>
      <c r="P32" s="148"/>
      <c r="Q32" s="146">
        <f>+Q29-Q30</f>
        <v>1.331388999999998</v>
      </c>
      <c r="R32" s="150"/>
      <c r="S32" s="151"/>
      <c r="T32" s="152">
        <v>0</v>
      </c>
      <c r="U32" s="153"/>
      <c r="V32" s="151"/>
      <c r="W32" s="152"/>
      <c r="X32" s="153"/>
      <c r="Y32" s="151"/>
      <c r="Z32" s="152">
        <f>SUM(D32:Y32)</f>
        <v>9.885269999999995</v>
      </c>
      <c r="AA32" s="153"/>
      <c r="AB32" s="64"/>
      <c r="AC32" s="64"/>
    </row>
    <row r="33" spans="1:27" ht="12">
      <c r="A33" s="33"/>
      <c r="B33" s="33"/>
      <c r="C33" s="65"/>
      <c r="D33" s="66"/>
      <c r="E33" s="66"/>
      <c r="F33" s="66"/>
      <c r="G33" s="26"/>
      <c r="H33" s="26"/>
      <c r="I33" s="26"/>
      <c r="J33" s="26"/>
      <c r="K33" s="26"/>
      <c r="L33" s="26"/>
      <c r="M33" s="26"/>
      <c r="N33" s="26"/>
      <c r="O33" s="26"/>
      <c r="P33" s="87"/>
      <c r="Q33" s="87"/>
      <c r="R33" s="87"/>
      <c r="S33" s="26"/>
      <c r="T33" s="26"/>
      <c r="U33" s="26"/>
      <c r="V33" s="26"/>
      <c r="W33" s="26"/>
      <c r="X33" s="26"/>
      <c r="Y33" s="67"/>
      <c r="Z33" s="26"/>
      <c r="AA33" s="26"/>
    </row>
    <row r="34" spans="9:27" ht="12">
      <c r="I34" s="53"/>
      <c r="L34" s="53"/>
      <c r="O34" s="53"/>
      <c r="R34" s="89"/>
      <c r="T34" s="53"/>
      <c r="U34" s="53"/>
      <c r="X34" s="53"/>
      <c r="Y34" s="53"/>
      <c r="Z34" s="29"/>
      <c r="AA34" s="53"/>
    </row>
    <row r="35" spans="7:27" ht="12">
      <c r="G35" s="29"/>
      <c r="I35" s="53"/>
      <c r="J35" s="29"/>
      <c r="L35" s="53"/>
      <c r="O35" s="53"/>
      <c r="R35" s="89"/>
      <c r="T35" s="53"/>
      <c r="V35" s="53"/>
      <c r="X35" s="53"/>
      <c r="Y35" s="53"/>
      <c r="AA35" s="53"/>
    </row>
    <row r="36" spans="7:27" ht="12">
      <c r="G36" s="29"/>
      <c r="R36" s="89"/>
      <c r="X36" s="53"/>
      <c r="AA36" s="53"/>
    </row>
    <row r="37" spans="7:24" ht="12">
      <c r="G37" s="29"/>
      <c r="V37" s="53"/>
      <c r="X37" s="53"/>
    </row>
  </sheetData>
  <mergeCells count="16">
    <mergeCell ref="P5:R5"/>
    <mergeCell ref="P6:R6"/>
    <mergeCell ref="G5:I5"/>
    <mergeCell ref="G6:I6"/>
    <mergeCell ref="J5:L5"/>
    <mergeCell ref="J6:L6"/>
    <mergeCell ref="D5:F5"/>
    <mergeCell ref="D6:F6"/>
    <mergeCell ref="Y5:AA5"/>
    <mergeCell ref="Y6:AA6"/>
    <mergeCell ref="S5:U5"/>
    <mergeCell ref="S6:U6"/>
    <mergeCell ref="V5:X5"/>
    <mergeCell ref="V6:X6"/>
    <mergeCell ref="M5:O5"/>
    <mergeCell ref="M6:O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5" r:id="rId1"/>
  <headerFooter alignWithMargins="0">
    <oddHeader>&amp;CPSR 2000-2006&amp;Rmodifica 11/2004
anticipi 12,5%
misure forestali
misura 6</oddHeader>
    <oddFooter>&amp;L&amp;P
&amp;N&amp;C&amp;"Arial Narrow,Normale"&amp;10&amp;F&amp;R&amp;A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Siegfried Gutweniger</cp:lastModifiedBy>
  <cp:lastPrinted>2004-12-03T09:56:57Z</cp:lastPrinted>
  <dcterms:created xsi:type="dcterms:W3CDTF">2000-05-19T08:01:38Z</dcterms:created>
  <dcterms:modified xsi:type="dcterms:W3CDTF">2006-09-15T17:18:36Z</dcterms:modified>
  <cp:category/>
  <cp:version/>
  <cp:contentType/>
  <cp:contentStatus/>
</cp:coreProperties>
</file>