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045" tabRatio="737" activeTab="4"/>
  </bookViews>
  <sheets>
    <sheet name="1) costi totali + UE" sheetId="1" r:id="rId1"/>
    <sheet name="2) spesa pubblica totale +UE" sheetId="2" r:id="rId2"/>
    <sheet name="3) costi totali +Bolzano" sheetId="3" r:id="rId3"/>
    <sheet name="4) costi totali +Stato" sheetId="4" r:id="rId4"/>
    <sheet name="7) nuova Ver.445 privati" sheetId="5" r:id="rId5"/>
    <sheet name="5) Top Up e costi totali" sheetId="6" r:id="rId6"/>
    <sheet name="6) Top Up e quota BZ" sheetId="7" r:id="rId7"/>
  </sheets>
  <definedNames/>
  <calcPr fullCalcOnLoad="1"/>
</workbook>
</file>

<file path=xl/sharedStrings.xml><?xml version="1.0" encoding="utf-8"?>
<sst xmlns="http://schemas.openxmlformats.org/spreadsheetml/2006/main" count="601" uniqueCount="84">
  <si>
    <t>misure</t>
  </si>
  <si>
    <t>totale</t>
  </si>
  <si>
    <t>spesa totale</t>
  </si>
  <si>
    <t>contributo UE</t>
  </si>
  <si>
    <t>Programma</t>
  </si>
  <si>
    <t>Reg. 2078 in corso</t>
  </si>
  <si>
    <t xml:space="preserve"> anno </t>
  </si>
  <si>
    <t>imboschimento delle superfici agricole (NOTA BENE: Reg. 2080 in corso anni 2001 e 2002!)</t>
  </si>
  <si>
    <t>15 A</t>
  </si>
  <si>
    <t>15 B 1</t>
  </si>
  <si>
    <t>15 B 2</t>
  </si>
  <si>
    <t>5 - II</t>
  </si>
  <si>
    <t>5 - II a</t>
  </si>
  <si>
    <t>5 - II b</t>
  </si>
  <si>
    <t>Investimenti nelle aziende agricole (articoli 4-7)</t>
  </si>
  <si>
    <t>Insediamento dei giovani agricoltori (art.8)</t>
  </si>
  <si>
    <t>Prepensionamento (articoli 10 -12)</t>
  </si>
  <si>
    <t>ricomposizione fondiaria (articolo 33, 2°)</t>
  </si>
  <si>
    <t>altre misure forestali - Sostegno agli investimenti a favore della trasformazione e commercializzazione dei prodotti forestali</t>
  </si>
  <si>
    <t>Miglioramento e razionalizzazione delle condizioni per il raccolto, la trasformazione e commercializzazione dei prodotti della selvicoltura (art. 30, 3°)</t>
  </si>
  <si>
    <t>Sviluppo e miglioramento della competitività dei prodotti forestali, nonché misure a sostegno di azioni riguardanti iniziative collettive per la commercializzazione ed iniziative promozionali (art.30, 4°)</t>
  </si>
  <si>
    <t>5 - I</t>
  </si>
  <si>
    <t>5 - I A</t>
  </si>
  <si>
    <t>5 - I B</t>
  </si>
  <si>
    <t>Investimenti nell'agriturismo (art. 33, 10°)</t>
  </si>
  <si>
    <t>miglioramento delle condizioni di trasformazione e commercializzazione dei prodotti agricoli (articoli 25 -28)</t>
  </si>
  <si>
    <t>avviamento di servizi di sostituzione e di assistenza alla gestione delle aziende agricole (art.33, 3°)</t>
  </si>
  <si>
    <t>Formazione (art. 9)</t>
  </si>
  <si>
    <t>diversificazione delle attività del settore agricolo e delle attività affini allo scopo di sviluppare attvità plurime o fonti alternative di reddito (art.33, 7°)</t>
  </si>
  <si>
    <t>commercializzazione di prodotti agricoli di qualità (art. 33,4°)</t>
  </si>
  <si>
    <t>sviluppo e miglioramento delle infrastrutture connesse allo sviluppo dell'agricoltura (art.33, 9°)</t>
  </si>
  <si>
    <t>gestione delle risorse idriche in agricoltura (art.33, 8°)</t>
  </si>
  <si>
    <t>misure agro-ambientali (articoli 22 - 24)</t>
  </si>
  <si>
    <t>zone svantaggiate e zone soggette a vincoli ambientali - indennità compensativa (articoli 15, a) e 16)</t>
  </si>
  <si>
    <t>Misure volte alla tutela dell'ambiente, in relazione all'agricoltura, alla conservazione delle risorse naturali nonché al benessere degli animali (art.33, 11°)</t>
  </si>
  <si>
    <t>Misure volte alla conservazione ed alla gestione sostenibile dei boschi ed al potenziamento della loro funzione ambientale e protettiva (art.30, 2°)</t>
  </si>
  <si>
    <t>15 B</t>
  </si>
  <si>
    <t>premi differenziati per utilizzazioni boschive in condizioni disagiate</t>
  </si>
  <si>
    <t>Misure per la conservazione e la gestione sostenibile dei boschi e per il potenziamento della loro funzione ambientale e protettiva</t>
  </si>
  <si>
    <t>Investimenti nell'agriturismo e in infrastrutture connesse al turismo rurale, inclusa l'informazione nel settore forestale (art. 33, 10°)</t>
  </si>
  <si>
    <t>Investimenti in infrastrutture connesse al turismo rurale, inclusa l'informazione nel settore forestale (art. 33, 10°)</t>
  </si>
  <si>
    <t>spesa pubblica totale</t>
  </si>
  <si>
    <t>contributo BZ</t>
  </si>
  <si>
    <t>contributo Stato</t>
  </si>
  <si>
    <t>top-up Bolzano</t>
  </si>
  <si>
    <t>Risorse del FEOGA sezione Garanzia per le misure di promozione dell'adeguamento e dello sviluppo delle zone rurali (articolo 33 del regolamento (CE) n.1257/99 nelle zone (rurali) dell'obiettivo 2: 6,871 milioni di euro (56,6% del totale per l'articolo 33)</t>
  </si>
  <si>
    <t xml:space="preserve">Tabella di pianificazione finanziaria: PSR della Provincia Autonoma di Bolzano - 2000/2006 - </t>
  </si>
  <si>
    <t>spesa (costi) totali e quota FEOGA per anno e per misura</t>
  </si>
  <si>
    <t>spesa pubblica totale (UE, Stato e Bolzano) e quota FEOGA per anno e per misura</t>
  </si>
  <si>
    <t>spesa (costi) totali e quota Bolzano per anno e per misura</t>
  </si>
  <si>
    <t>spesa (costi) totali e quota Stato per anno e per misura</t>
  </si>
  <si>
    <t>TOP-UP AIUTI DI STATO - spesa (costi) totali e quota Bolzano per anno e per misura</t>
  </si>
  <si>
    <t>TOP-UP AIUTI DI STATO - spesa pubblica totale (Bolzano) e quota Bolzano per anno e per misura</t>
  </si>
  <si>
    <t>ANTICIPO 12,5% SULLA QUOTA UE</t>
  </si>
  <si>
    <t>2000-2006</t>
  </si>
  <si>
    <t>privati</t>
  </si>
  <si>
    <t>A</t>
  </si>
  <si>
    <t>B</t>
  </si>
  <si>
    <t>D</t>
  </si>
  <si>
    <t>K</t>
  </si>
  <si>
    <t>I</t>
  </si>
  <si>
    <t>H</t>
  </si>
  <si>
    <t>C</t>
  </si>
  <si>
    <t>P</t>
  </si>
  <si>
    <t>F</t>
  </si>
  <si>
    <t>E</t>
  </si>
  <si>
    <t>G</t>
  </si>
  <si>
    <t>L</t>
  </si>
  <si>
    <t>M</t>
  </si>
  <si>
    <t>R</t>
  </si>
  <si>
    <t>Q</t>
  </si>
  <si>
    <t>T</t>
  </si>
  <si>
    <t>S</t>
  </si>
  <si>
    <t>numero</t>
  </si>
  <si>
    <t>PSR</t>
  </si>
  <si>
    <t>lettera</t>
  </si>
  <si>
    <t>445/2</t>
  </si>
  <si>
    <t>Spese totali realizzate</t>
  </si>
  <si>
    <t>Sottoutilizzazione</t>
  </si>
  <si>
    <t>Sovrautilizzazione</t>
  </si>
  <si>
    <t>Totale piano</t>
  </si>
  <si>
    <t>di cui Reg. 2079/92</t>
  </si>
  <si>
    <t>di cui Reg. 2080/92</t>
  </si>
  <si>
    <t>di cui Reg. 2078 in corso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</si>
</sst>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0.0"/>
    <numFmt numFmtId="187" formatCode="0.000"/>
    <numFmt numFmtId="188" formatCode="0.0000"/>
    <numFmt numFmtId="189" formatCode="0.0000000"/>
    <numFmt numFmtId="190" formatCode="0.000000"/>
    <numFmt numFmtId="191" formatCode="0.00000"/>
    <numFmt numFmtId="192" formatCode="#,##0\ &quot;FB&quot;;\-#,##0\ &quot;FB&quot;"/>
    <numFmt numFmtId="193" formatCode="#,##0\ &quot;FB&quot;;[Red]\-#,##0\ &quot;FB&quot;"/>
    <numFmt numFmtId="194" formatCode="#,##0.00\ &quot;FB&quot;;\-#,##0.00\ &quot;FB&quot;"/>
    <numFmt numFmtId="195" formatCode="#,##0.00\ &quot;FB&quot;;[Red]\-#,##0.00\ &quot;FB&quot;"/>
    <numFmt numFmtId="196" formatCode="_-* #,##0\ &quot;FB&quot;_-;\-* #,##0\ &quot;FB&quot;_-;_-* &quot;-&quot;\ &quot;FB&quot;_-;_-@_-"/>
    <numFmt numFmtId="197" formatCode="_-* #,##0\ _F_B_-;\-* #,##0\ _F_B_-;_-* &quot;-&quot;\ _F_B_-;_-@_-"/>
    <numFmt numFmtId="198" formatCode="_-* #,##0.00\ &quot;FB&quot;_-;\-* #,##0.00\ &quot;FB&quot;_-;_-* &quot;-&quot;??\ &quot;FB&quot;_-;_-@_-"/>
    <numFmt numFmtId="199" formatCode="_-* #,##0.00\ _F_B_-;\-* #,##0.00\ _F_B_-;_-* &quot;-&quot;??\ _F_B_-;_-@_-"/>
    <numFmt numFmtId="200" formatCode="#,##0.000"/>
    <numFmt numFmtId="201" formatCode="0.00000000"/>
    <numFmt numFmtId="202" formatCode="0.000000000"/>
    <numFmt numFmtId="203" formatCode="0.0000000000"/>
    <numFmt numFmtId="204" formatCode="0.00000000000"/>
    <numFmt numFmtId="205" formatCode="0.000000000000"/>
    <numFmt numFmtId="206" formatCode="0.0000000000000"/>
    <numFmt numFmtId="207" formatCode="0.00000000000000"/>
    <numFmt numFmtId="208" formatCode="0.000000000000000"/>
    <numFmt numFmtId="209" formatCode="_-* #,##0.000_-;\-* #,##0.000_-;_-* &quot;-&quot;??_-;_-@_-"/>
    <numFmt numFmtId="210" formatCode="_-* #,##0.0000_-;\-* #,##0.0000_-;_-* &quot;-&quot;??_-;_-@_-"/>
    <numFmt numFmtId="211" formatCode="_-* #,##0.00000_-;\-* #,##0.00000_-;_-* &quot;-&quot;??_-;_-@_-"/>
    <numFmt numFmtId="212" formatCode="_-* #,##0.0_-;\-* #,##0.0_-;_-* &quot;-&quot;??_-;_-@_-"/>
    <numFmt numFmtId="213" formatCode="_-* #,##0.000000_-;\-* #,##0.000000_-;_-* &quot;-&quot;??_-;_-@_-"/>
  </numFmts>
  <fonts count="11">
    <font>
      <sz val="9"/>
      <name val="Arial"/>
      <family val="0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187" fontId="1" fillId="0" borderId="0" xfId="0" applyNumberFormat="1" applyFont="1" applyFill="1" applyAlignment="1">
      <alignment/>
    </xf>
    <xf numFmtId="0" fontId="6" fillId="0" borderId="1" xfId="0" applyFont="1" applyFill="1" applyBorder="1" applyAlignment="1">
      <alignment horizontal="justify" vertical="center" wrapText="1"/>
    </xf>
    <xf numFmtId="187" fontId="1" fillId="0" borderId="0" xfId="0" applyNumberFormat="1" applyFont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2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7" fillId="2" borderId="3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87" fontId="7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87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2" fontId="1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187" fontId="1" fillId="0" borderId="0" xfId="0" applyNumberFormat="1" applyFont="1" applyFill="1" applyBorder="1" applyAlignment="1">
      <alignment/>
    </xf>
    <xf numFmtId="187" fontId="1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187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87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8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justify"/>
    </xf>
    <xf numFmtId="0" fontId="9" fillId="0" borderId="0" xfId="0" applyFont="1" applyFill="1" applyAlignment="1">
      <alignment/>
    </xf>
    <xf numFmtId="0" fontId="6" fillId="0" borderId="2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left"/>
    </xf>
    <xf numFmtId="190" fontId="1" fillId="0" borderId="0" xfId="0" applyNumberFormat="1" applyFont="1" applyFill="1" applyAlignment="1">
      <alignment/>
    </xf>
    <xf numFmtId="190" fontId="3" fillId="0" borderId="0" xfId="0" applyNumberFormat="1" applyFont="1" applyFill="1" applyAlignment="1">
      <alignment/>
    </xf>
    <xf numFmtId="190" fontId="1" fillId="0" borderId="0" xfId="0" applyNumberFormat="1" applyFont="1" applyFill="1" applyBorder="1" applyAlignment="1">
      <alignment/>
    </xf>
    <xf numFmtId="171" fontId="7" fillId="0" borderId="0" xfId="15" applyFont="1" applyAlignment="1">
      <alignment/>
    </xf>
    <xf numFmtId="190" fontId="1" fillId="0" borderId="0" xfId="0" applyNumberFormat="1" applyFont="1" applyAlignment="1">
      <alignment/>
    </xf>
    <xf numFmtId="190" fontId="3" fillId="0" borderId="0" xfId="0" applyNumberFormat="1" applyFont="1" applyAlignment="1">
      <alignment/>
    </xf>
    <xf numFmtId="190" fontId="7" fillId="0" borderId="0" xfId="0" applyNumberFormat="1" applyFont="1" applyFill="1" applyAlignment="1">
      <alignment/>
    </xf>
    <xf numFmtId="189" fontId="1" fillId="0" borderId="0" xfId="0" applyNumberFormat="1" applyFont="1" applyFill="1" applyAlignment="1">
      <alignment/>
    </xf>
    <xf numFmtId="171" fontId="1" fillId="0" borderId="0" xfId="15" applyFont="1" applyFill="1" applyAlignment="1">
      <alignment/>
    </xf>
    <xf numFmtId="0" fontId="0" fillId="0" borderId="0" xfId="0" applyFont="1" applyFill="1" applyAlignment="1">
      <alignment horizontal="left"/>
    </xf>
    <xf numFmtId="190" fontId="0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justify" vertical="center" wrapText="1"/>
    </xf>
    <xf numFmtId="187" fontId="0" fillId="0" borderId="0" xfId="0" applyNumberFormat="1" applyFont="1" applyFill="1" applyBorder="1" applyAlignment="1">
      <alignment/>
    </xf>
    <xf numFmtId="0" fontId="9" fillId="0" borderId="7" xfId="0" applyFont="1" applyFill="1" applyBorder="1" applyAlignment="1">
      <alignment horizontal="center" vertical="center" wrapText="1"/>
    </xf>
    <xf numFmtId="187" fontId="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justify"/>
    </xf>
    <xf numFmtId="0" fontId="10" fillId="0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9" fillId="0" borderId="0" xfId="0" applyNumberFormat="1" applyFont="1" applyFill="1" applyBorder="1" applyAlignment="1">
      <alignment/>
    </xf>
    <xf numFmtId="190" fontId="0" fillId="0" borderId="0" xfId="0" applyNumberFormat="1" applyFont="1" applyFill="1" applyBorder="1" applyAlignment="1">
      <alignment/>
    </xf>
    <xf numFmtId="213" fontId="1" fillId="0" borderId="0" xfId="15" applyNumberFormat="1" applyFont="1" applyFill="1" applyAlignment="1">
      <alignment/>
    </xf>
    <xf numFmtId="190" fontId="7" fillId="0" borderId="0" xfId="0" applyNumberFormat="1" applyFont="1" applyAlignment="1">
      <alignment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87" fontId="1" fillId="3" borderId="3" xfId="0" applyNumberFormat="1" applyFont="1" applyFill="1" applyBorder="1" applyAlignment="1">
      <alignment/>
    </xf>
    <xf numFmtId="0" fontId="3" fillId="3" borderId="1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9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justify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4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187" fontId="0" fillId="3" borderId="15" xfId="0" applyNumberFormat="1" applyFont="1" applyFill="1" applyBorder="1" applyAlignment="1">
      <alignment horizontal="justify"/>
    </xf>
    <xf numFmtId="0" fontId="0" fillId="3" borderId="4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/>
    </xf>
    <xf numFmtId="0" fontId="1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187" fontId="7" fillId="2" borderId="1" xfId="0" applyNumberFormat="1" applyFont="1" applyFill="1" applyBorder="1" applyAlignment="1">
      <alignment/>
    </xf>
    <xf numFmtId="187" fontId="1" fillId="0" borderId="1" xfId="0" applyNumberFormat="1" applyFont="1" applyFill="1" applyBorder="1" applyAlignment="1">
      <alignment/>
    </xf>
    <xf numFmtId="187" fontId="7" fillId="2" borderId="22" xfId="0" applyNumberFormat="1" applyFont="1" applyFill="1" applyBorder="1" applyAlignment="1">
      <alignment/>
    </xf>
    <xf numFmtId="187" fontId="3" fillId="0" borderId="1" xfId="0" applyNumberFormat="1" applyFont="1" applyFill="1" applyBorder="1" applyAlignment="1">
      <alignment/>
    </xf>
    <xf numFmtId="187" fontId="7" fillId="2" borderId="1" xfId="15" applyNumberFormat="1" applyFont="1" applyFill="1" applyBorder="1" applyAlignment="1">
      <alignment/>
    </xf>
    <xf numFmtId="187" fontId="1" fillId="0" borderId="1" xfId="0" applyNumberFormat="1" applyFont="1" applyBorder="1" applyAlignment="1">
      <alignment/>
    </xf>
    <xf numFmtId="187" fontId="3" fillId="0" borderId="1" xfId="0" applyNumberFormat="1" applyFont="1" applyBorder="1" applyAlignment="1">
      <alignment/>
    </xf>
    <xf numFmtId="187" fontId="2" fillId="2" borderId="1" xfId="0" applyNumberFormat="1" applyFont="1" applyFill="1" applyBorder="1" applyAlignment="1">
      <alignment/>
    </xf>
    <xf numFmtId="187" fontId="10" fillId="2" borderId="23" xfId="0" applyNumberFormat="1" applyFont="1" applyFill="1" applyBorder="1" applyAlignment="1">
      <alignment/>
    </xf>
    <xf numFmtId="187" fontId="10" fillId="2" borderId="1" xfId="0" applyNumberFormat="1" applyFont="1" applyFill="1" applyBorder="1" applyAlignment="1">
      <alignment/>
    </xf>
    <xf numFmtId="187" fontId="10" fillId="2" borderId="16" xfId="0" applyNumberFormat="1" applyFont="1" applyFill="1" applyBorder="1" applyAlignment="1">
      <alignment/>
    </xf>
    <xf numFmtId="187" fontId="0" fillId="0" borderId="23" xfId="0" applyNumberFormat="1" applyFont="1" applyFill="1" applyBorder="1" applyAlignment="1">
      <alignment/>
    </xf>
    <xf numFmtId="187" fontId="0" fillId="0" borderId="1" xfId="0" applyNumberFormat="1" applyFont="1" applyFill="1" applyBorder="1" applyAlignment="1">
      <alignment/>
    </xf>
    <xf numFmtId="187" fontId="0" fillId="0" borderId="16" xfId="0" applyNumberFormat="1" applyFont="1" applyFill="1" applyBorder="1" applyAlignment="1">
      <alignment/>
    </xf>
    <xf numFmtId="187" fontId="0" fillId="0" borderId="6" xfId="0" applyNumberFormat="1" applyFont="1" applyFill="1" applyBorder="1" applyAlignment="1">
      <alignment/>
    </xf>
    <xf numFmtId="187" fontId="0" fillId="0" borderId="22" xfId="0" applyNumberFormat="1" applyFont="1" applyFill="1" applyBorder="1" applyAlignment="1">
      <alignment/>
    </xf>
    <xf numFmtId="187" fontId="9" fillId="2" borderId="24" xfId="0" applyNumberFormat="1" applyFont="1" applyFill="1" applyBorder="1" applyAlignment="1">
      <alignment/>
    </xf>
    <xf numFmtId="187" fontId="9" fillId="2" borderId="18" xfId="0" applyNumberFormat="1" applyFont="1" applyFill="1" applyBorder="1" applyAlignment="1">
      <alignment/>
    </xf>
    <xf numFmtId="187" fontId="9" fillId="2" borderId="25" xfId="0" applyNumberFormat="1" applyFont="1" applyFill="1" applyBorder="1" applyAlignment="1">
      <alignment/>
    </xf>
    <xf numFmtId="187" fontId="9" fillId="0" borderId="24" xfId="0" applyNumberFormat="1" applyFont="1" applyFill="1" applyBorder="1" applyAlignment="1">
      <alignment/>
    </xf>
    <xf numFmtId="187" fontId="9" fillId="0" borderId="18" xfId="0" applyNumberFormat="1" applyFont="1" applyFill="1" applyBorder="1" applyAlignment="1">
      <alignment/>
    </xf>
    <xf numFmtId="187" fontId="9" fillId="0" borderId="25" xfId="0" applyNumberFormat="1" applyFont="1" applyFill="1" applyBorder="1" applyAlignment="1">
      <alignment/>
    </xf>
    <xf numFmtId="0" fontId="9" fillId="0" borderId="21" xfId="0" applyFont="1" applyFill="1" applyBorder="1" applyAlignment="1">
      <alignment horizontal="center" vertical="center" wrapText="1"/>
    </xf>
    <xf numFmtId="1" fontId="0" fillId="3" borderId="1" xfId="0" applyNumberFormat="1" applyFont="1" applyFill="1" applyBorder="1" applyAlignment="1">
      <alignment horizontal="center"/>
    </xf>
    <xf numFmtId="1" fontId="0" fillId="3" borderId="6" xfId="0" applyNumberFormat="1" applyFont="1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justify" vertical="center" wrapText="1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187" fontId="9" fillId="2" borderId="26" xfId="0" applyNumberFormat="1" applyFont="1" applyFill="1" applyBorder="1" applyAlignment="1">
      <alignment/>
    </xf>
    <xf numFmtId="0" fontId="7" fillId="2" borderId="13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  <xf numFmtId="0" fontId="0" fillId="3" borderId="31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CC2B0"/>
      <rgbColor rgb="00FFFFCC"/>
      <rgbColor rgb="00CCFFFF"/>
      <rgbColor rgb="008CA8AE"/>
      <rgbColor rgb="00FF8080"/>
      <rgbColor rgb="000066CC"/>
      <rgbColor rgb="00E69340"/>
      <rgbColor rgb="006767FF"/>
      <rgbColor rgb="00FF00FF"/>
      <rgbColor rgb="00FFFF00"/>
      <rgbColor rgb="0000C5C0"/>
      <rgbColor rgb="00800080"/>
      <rgbColor rgb="00F8720E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8DA8B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9AE2E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tabColor indexed="11"/>
    <pageSetUpPr fitToPage="1"/>
  </sheetPr>
  <dimension ref="A1:V56"/>
  <sheetViews>
    <sheetView showGridLines="0" showZeros="0" workbookViewId="0" topLeftCell="A5">
      <pane xSplit="3" ySplit="3" topLeftCell="I18" activePane="bottomRight" state="frozen"/>
      <selection pane="topLeft" activeCell="C39" sqref="C39"/>
      <selection pane="topRight" activeCell="C39" sqref="C39"/>
      <selection pane="bottomLeft" activeCell="C39" sqref="C39"/>
      <selection pane="bottomRight" activeCell="C39" sqref="C39"/>
    </sheetView>
  </sheetViews>
  <sheetFormatPr defaultColWidth="11.421875" defaultRowHeight="12"/>
  <cols>
    <col min="1" max="1" width="7.8515625" style="2" customWidth="1"/>
    <col min="2" max="2" width="6.8515625" style="2" customWidth="1"/>
    <col min="3" max="3" width="30.00390625" style="1" customWidth="1"/>
    <col min="4" max="4" width="11.8515625" style="12" bestFit="1" customWidth="1"/>
    <col min="5" max="5" width="10.7109375" style="12" bestFit="1" customWidth="1"/>
    <col min="6" max="6" width="11.8515625" style="4" bestFit="1" customWidth="1"/>
    <col min="7" max="7" width="10.7109375" style="10" bestFit="1" customWidth="1"/>
    <col min="8" max="8" width="11.8515625" style="4" bestFit="1" customWidth="1"/>
    <col min="9" max="9" width="10.7109375" style="4" bestFit="1" customWidth="1"/>
    <col min="10" max="10" width="11.8515625" style="4" bestFit="1" customWidth="1"/>
    <col min="11" max="11" width="10.7109375" style="4" bestFit="1" customWidth="1"/>
    <col min="12" max="19" width="11.7109375" style="4" customWidth="1"/>
    <col min="20" max="20" width="10.57421875" style="1" bestFit="1" customWidth="1"/>
    <col min="21" max="21" width="9.57421875" style="1" bestFit="1" customWidth="1"/>
    <col min="22" max="16384" width="9.140625" style="1" customWidth="1"/>
  </cols>
  <sheetData>
    <row r="1" spans="1:2" ht="12.75">
      <c r="A1" s="41" t="s">
        <v>46</v>
      </c>
      <c r="B1" s="23"/>
    </row>
    <row r="2" spans="1:2" ht="12.75">
      <c r="A2" s="23"/>
      <c r="B2" s="23"/>
    </row>
    <row r="3" spans="1:2" ht="12.75">
      <c r="A3" s="40" t="s">
        <v>47</v>
      </c>
      <c r="B3" s="33"/>
    </row>
    <row r="5" spans="1:19" s="2" customFormat="1" ht="12.75">
      <c r="A5" s="77"/>
      <c r="B5" s="77"/>
      <c r="C5" s="78"/>
      <c r="D5" s="145" t="s">
        <v>6</v>
      </c>
      <c r="E5" s="145"/>
      <c r="F5" s="146" t="s">
        <v>6</v>
      </c>
      <c r="G5" s="145"/>
      <c r="H5" s="146" t="s">
        <v>6</v>
      </c>
      <c r="I5" s="145"/>
      <c r="J5" s="146" t="s">
        <v>6</v>
      </c>
      <c r="K5" s="145"/>
      <c r="L5" s="147" t="s">
        <v>6</v>
      </c>
      <c r="M5" s="148"/>
      <c r="N5" s="147" t="s">
        <v>6</v>
      </c>
      <c r="O5" s="148"/>
      <c r="P5" s="147" t="s">
        <v>6</v>
      </c>
      <c r="Q5" s="149"/>
      <c r="R5" s="148" t="s">
        <v>1</v>
      </c>
      <c r="S5" s="149"/>
    </row>
    <row r="6" spans="1:19" s="2" customFormat="1" ht="12.75">
      <c r="A6" s="79" t="s">
        <v>73</v>
      </c>
      <c r="B6" s="79" t="s">
        <v>75</v>
      </c>
      <c r="C6" s="80" t="s">
        <v>0</v>
      </c>
      <c r="D6" s="150">
        <v>2000</v>
      </c>
      <c r="E6" s="150"/>
      <c r="F6" s="151">
        <v>2001</v>
      </c>
      <c r="G6" s="152"/>
      <c r="H6" s="150">
        <v>2002</v>
      </c>
      <c r="I6" s="150"/>
      <c r="J6" s="151">
        <v>2003</v>
      </c>
      <c r="K6" s="152"/>
      <c r="L6" s="153">
        <v>2004</v>
      </c>
      <c r="M6" s="153"/>
      <c r="N6" s="154">
        <v>2005</v>
      </c>
      <c r="O6" s="155"/>
      <c r="P6" s="154">
        <v>2006</v>
      </c>
      <c r="Q6" s="155"/>
      <c r="R6" s="153"/>
      <c r="S6" s="155"/>
    </row>
    <row r="7" spans="1:19" ht="25.5">
      <c r="A7" s="81" t="s">
        <v>74</v>
      </c>
      <c r="B7" s="81" t="s">
        <v>76</v>
      </c>
      <c r="C7" s="82"/>
      <c r="D7" s="14" t="s">
        <v>2</v>
      </c>
      <c r="E7" s="14" t="s">
        <v>3</v>
      </c>
      <c r="F7" s="14" t="s">
        <v>2</v>
      </c>
      <c r="G7" s="14" t="s">
        <v>3</v>
      </c>
      <c r="H7" s="14" t="s">
        <v>2</v>
      </c>
      <c r="I7" s="14" t="s">
        <v>3</v>
      </c>
      <c r="J7" s="14" t="s">
        <v>2</v>
      </c>
      <c r="K7" s="14" t="s">
        <v>3</v>
      </c>
      <c r="L7" s="85" t="s">
        <v>2</v>
      </c>
      <c r="M7" s="85" t="s">
        <v>3</v>
      </c>
      <c r="N7" s="85" t="s">
        <v>2</v>
      </c>
      <c r="O7" s="85" t="s">
        <v>3</v>
      </c>
      <c r="P7" s="85" t="s">
        <v>2</v>
      </c>
      <c r="Q7" s="85" t="s">
        <v>3</v>
      </c>
      <c r="R7" s="85" t="s">
        <v>2</v>
      </c>
      <c r="S7" s="85" t="s">
        <v>3</v>
      </c>
    </row>
    <row r="8" spans="1:21" s="4" customFormat="1" ht="22.5">
      <c r="A8" s="86">
        <v>1</v>
      </c>
      <c r="B8" s="86" t="s">
        <v>56</v>
      </c>
      <c r="C8" s="6" t="s">
        <v>14</v>
      </c>
      <c r="D8" s="116">
        <f>+E8</f>
        <v>0.117857</v>
      </c>
      <c r="E8" s="116">
        <v>0.117857</v>
      </c>
      <c r="F8" s="116">
        <f>4.366-0.057</f>
        <v>4.308999999999999</v>
      </c>
      <c r="G8" s="116">
        <f>0.67791819</f>
        <v>0.67791819</v>
      </c>
      <c r="H8" s="116">
        <v>5.923</v>
      </c>
      <c r="I8" s="116">
        <v>0.92331716</v>
      </c>
      <c r="J8" s="116">
        <v>9.82793762</v>
      </c>
      <c r="K8" s="116">
        <v>1.407853</v>
      </c>
      <c r="L8" s="117">
        <v>2.903767</v>
      </c>
      <c r="M8" s="117">
        <v>0.435565</v>
      </c>
      <c r="N8" s="117">
        <v>6.333427</v>
      </c>
      <c r="O8" s="117">
        <v>0.950014</v>
      </c>
      <c r="P8" s="117">
        <v>8.785345</v>
      </c>
      <c r="Q8" s="117">
        <v>1.217476</v>
      </c>
      <c r="R8" s="117">
        <f>+P8+N8+L8+J8+H8+F8+D8</f>
        <v>38.20033362</v>
      </c>
      <c r="S8" s="117">
        <f aca="true" t="shared" si="0" ref="R8:S11">+Q8+O8+M8+K8+I8+G8+E8</f>
        <v>5.730000349999999</v>
      </c>
      <c r="T8" s="48"/>
      <c r="U8" s="48"/>
    </row>
    <row r="9" spans="1:20" ht="12.75">
      <c r="A9" s="86">
        <v>2</v>
      </c>
      <c r="B9" s="86" t="s">
        <v>57</v>
      </c>
      <c r="C9" s="6" t="s">
        <v>15</v>
      </c>
      <c r="D9" s="116">
        <f>+E9</f>
        <v>0.03125</v>
      </c>
      <c r="E9" s="116">
        <v>0.03125</v>
      </c>
      <c r="F9" s="116">
        <v>0.575</v>
      </c>
      <c r="G9" s="116">
        <v>0.28749995</v>
      </c>
      <c r="H9" s="116">
        <v>1.4975</v>
      </c>
      <c r="I9" s="116">
        <v>0.74875</v>
      </c>
      <c r="J9" s="116">
        <v>1.1025</v>
      </c>
      <c r="K9" s="116">
        <f>+J9/2</f>
        <v>0.55125</v>
      </c>
      <c r="L9" s="117">
        <v>1.414</v>
      </c>
      <c r="M9" s="117">
        <f>+L9*0.5</f>
        <v>0.707</v>
      </c>
      <c r="N9" s="117">
        <f>1.231+0.00075</f>
        <v>1.2317500000000001</v>
      </c>
      <c r="O9" s="117">
        <f>+N9*0.5-0.015625</f>
        <v>0.6002500000000001</v>
      </c>
      <c r="P9" s="117">
        <v>0</v>
      </c>
      <c r="Q9" s="117">
        <f>+P9*0.5</f>
        <v>0</v>
      </c>
      <c r="R9" s="117">
        <f>+P9+N9+L9+J9+H9+F9+D9</f>
        <v>5.852</v>
      </c>
      <c r="S9" s="117">
        <f>+Q9+O9+M9+K9+I9+G9+E9</f>
        <v>2.92599995</v>
      </c>
      <c r="T9" s="52"/>
    </row>
    <row r="10" spans="1:19" ht="12.75">
      <c r="A10" s="86">
        <v>3</v>
      </c>
      <c r="B10" s="86" t="s">
        <v>58</v>
      </c>
      <c r="C10" s="6" t="s">
        <v>16</v>
      </c>
      <c r="D10" s="116">
        <f>+E10</f>
        <v>0.006696</v>
      </c>
      <c r="E10" s="116">
        <v>0.006696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f>+Q10</f>
        <v>0</v>
      </c>
      <c r="Q10" s="117">
        <v>0</v>
      </c>
      <c r="R10" s="117">
        <f t="shared" si="0"/>
        <v>0.006696</v>
      </c>
      <c r="S10" s="117">
        <f t="shared" si="0"/>
        <v>0.006696</v>
      </c>
    </row>
    <row r="11" spans="1:19" ht="12.75">
      <c r="A11" s="86">
        <v>4</v>
      </c>
      <c r="B11" s="86" t="s">
        <v>59</v>
      </c>
      <c r="C11" s="6" t="s">
        <v>17</v>
      </c>
      <c r="D11" s="116">
        <f>+E11</f>
        <v>0.001786</v>
      </c>
      <c r="E11" s="116">
        <v>0.001786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f>+Q11</f>
        <v>0</v>
      </c>
      <c r="Q11" s="117">
        <v>0</v>
      </c>
      <c r="R11" s="117">
        <f t="shared" si="0"/>
        <v>0.001786</v>
      </c>
      <c r="S11" s="117">
        <f t="shared" si="0"/>
        <v>0.001786</v>
      </c>
    </row>
    <row r="12" spans="1:20" s="4" customFormat="1" ht="45">
      <c r="A12" s="86" t="s">
        <v>21</v>
      </c>
      <c r="B12" s="86" t="s">
        <v>72</v>
      </c>
      <c r="C12" s="6" t="s">
        <v>39</v>
      </c>
      <c r="D12" s="116">
        <f>SUM(D13:D14)</f>
        <v>0.040179</v>
      </c>
      <c r="E12" s="116">
        <f>SUM(E13:E14)</f>
        <v>0.040179</v>
      </c>
      <c r="F12" s="116">
        <f>SUM(F13:F14)</f>
        <v>1.778</v>
      </c>
      <c r="G12" s="116">
        <f>SUM(G13:G14)</f>
        <v>0.25765665</v>
      </c>
      <c r="H12" s="116">
        <f aca="true" t="shared" si="1" ref="H12:Q12">SUM(H13:H14)</f>
        <v>1.16</v>
      </c>
      <c r="I12" s="116">
        <f t="shared" si="1"/>
        <v>0.18319147</v>
      </c>
      <c r="J12" s="116">
        <f t="shared" si="1"/>
        <v>3.0675499</v>
      </c>
      <c r="K12" s="116">
        <f t="shared" si="1"/>
        <v>0.5099974899999999</v>
      </c>
      <c r="L12" s="117">
        <f t="shared" si="1"/>
        <v>3.153</v>
      </c>
      <c r="M12" s="117">
        <f t="shared" si="1"/>
        <v>0.5630000000000001</v>
      </c>
      <c r="N12" s="117">
        <f t="shared" si="1"/>
        <v>7.347</v>
      </c>
      <c r="O12" s="117">
        <f t="shared" si="1"/>
        <v>1.35205</v>
      </c>
      <c r="P12" s="117">
        <f t="shared" si="1"/>
        <v>5.613937</v>
      </c>
      <c r="Q12" s="117">
        <f t="shared" si="1"/>
        <v>0.957923</v>
      </c>
      <c r="R12" s="117">
        <f>SUM(P12+N12+L12+J12+H12+F12+D12)</f>
        <v>22.159665899999997</v>
      </c>
      <c r="S12" s="117">
        <f>SUM(Q12+O12+M12+K12+I12+G12+E12)</f>
        <v>3.86399761</v>
      </c>
      <c r="T12" s="5"/>
    </row>
    <row r="13" spans="1:20" s="4" customFormat="1" ht="12.75">
      <c r="A13" s="86" t="s">
        <v>22</v>
      </c>
      <c r="B13" s="86"/>
      <c r="C13" s="6" t="s">
        <v>24</v>
      </c>
      <c r="D13" s="116">
        <f>+E13</f>
        <v>0.040179</v>
      </c>
      <c r="E13" s="116">
        <v>0.040179</v>
      </c>
      <c r="F13" s="116">
        <v>1.778</v>
      </c>
      <c r="G13" s="116">
        <v>0.25765665</v>
      </c>
      <c r="H13" s="116">
        <v>1.115</v>
      </c>
      <c r="I13" s="116">
        <f>0.172+0.00019147</f>
        <v>0.17219146999999999</v>
      </c>
      <c r="J13" s="116">
        <v>2.71051034</v>
      </c>
      <c r="K13" s="116">
        <v>0.4207376</v>
      </c>
      <c r="L13" s="117">
        <v>2.253</v>
      </c>
      <c r="M13" s="117">
        <v>0.338</v>
      </c>
      <c r="N13" s="117">
        <v>4.847</v>
      </c>
      <c r="O13" s="117">
        <v>0.72705</v>
      </c>
      <c r="P13" s="117">
        <v>4.015977</v>
      </c>
      <c r="Q13" s="117">
        <v>0.558183</v>
      </c>
      <c r="R13" s="117">
        <f>SUM(P13+N13+L13+J13+H13+F13+D13)</f>
        <v>16.75966634</v>
      </c>
      <c r="S13" s="117">
        <f>SUM(Q13+O13+M13+K13+I13+G13+E13)</f>
        <v>2.51399772</v>
      </c>
      <c r="T13" s="48"/>
    </row>
    <row r="14" spans="1:20" s="4" customFormat="1" ht="33.75">
      <c r="A14" s="86" t="s">
        <v>23</v>
      </c>
      <c r="B14" s="86"/>
      <c r="C14" s="6" t="s">
        <v>40</v>
      </c>
      <c r="D14" s="116"/>
      <c r="E14" s="116"/>
      <c r="F14" s="116">
        <v>0</v>
      </c>
      <c r="G14" s="116">
        <v>0</v>
      </c>
      <c r="H14" s="116">
        <v>0.045</v>
      </c>
      <c r="I14" s="116">
        <v>0.011</v>
      </c>
      <c r="J14" s="116">
        <f>+K14/0.25</f>
        <v>0.35703956</v>
      </c>
      <c r="K14" s="116">
        <v>0.08925989</v>
      </c>
      <c r="L14" s="117">
        <f>0.9</f>
        <v>0.9</v>
      </c>
      <c r="M14" s="117">
        <v>0.225</v>
      </c>
      <c r="N14" s="117">
        <f>0.9+1.6</f>
        <v>2.5</v>
      </c>
      <c r="O14" s="117">
        <f>0.225+0.4</f>
        <v>0.625</v>
      </c>
      <c r="P14" s="117">
        <f>2.655+0.4+0.14296-1.6</f>
        <v>1.5979599999999996</v>
      </c>
      <c r="Q14" s="117">
        <f>0.664+0.1+0.03574-0.4</f>
        <v>0.39974</v>
      </c>
      <c r="R14" s="117">
        <f>SUM(P14+N14+L14+J14+H14+F14)</f>
        <v>5.3999995599999995</v>
      </c>
      <c r="S14" s="117">
        <f>SUM(Q14+O14+M14+K14+I14+G14)</f>
        <v>1.3499998899999999</v>
      </c>
      <c r="T14" s="48"/>
    </row>
    <row r="15" spans="1:20" ht="45">
      <c r="A15" s="86" t="s">
        <v>11</v>
      </c>
      <c r="B15" s="86" t="s">
        <v>60</v>
      </c>
      <c r="C15" s="6" t="s">
        <v>18</v>
      </c>
      <c r="D15" s="116">
        <f>SUM(D16:D17)</f>
        <v>0.1455</v>
      </c>
      <c r="E15" s="116">
        <f>SUM(E16:E17)</f>
        <v>0.1455</v>
      </c>
      <c r="F15" s="116">
        <f aca="true" t="shared" si="2" ref="F15:Q15">SUM(F16:F17)</f>
        <v>0.125</v>
      </c>
      <c r="G15" s="116">
        <f>SUM(G16:G17)</f>
        <v>0.023</v>
      </c>
      <c r="H15" s="116">
        <f t="shared" si="2"/>
        <v>1.075</v>
      </c>
      <c r="I15" s="116">
        <f t="shared" si="2"/>
        <v>0.16899999999999998</v>
      </c>
      <c r="J15" s="116">
        <f t="shared" si="2"/>
        <v>0.75144128</v>
      </c>
      <c r="K15" s="116">
        <f t="shared" si="2"/>
        <v>0.11834651</v>
      </c>
      <c r="L15" s="117">
        <f t="shared" si="2"/>
        <v>0.9</v>
      </c>
      <c r="M15" s="117">
        <f t="shared" si="2"/>
        <v>0.153333</v>
      </c>
      <c r="N15" s="117">
        <f t="shared" si="2"/>
        <v>0.9</v>
      </c>
      <c r="O15" s="117">
        <f t="shared" si="2"/>
        <v>0.153333</v>
      </c>
      <c r="P15" s="117">
        <f t="shared" si="2"/>
        <v>1.503059</v>
      </c>
      <c r="Q15" s="117">
        <f t="shared" si="2"/>
        <v>0.15773700000000002</v>
      </c>
      <c r="R15" s="117">
        <f>SUM(P15+N15+L15+J15+H15+F15+D15)</f>
        <v>5.40000028</v>
      </c>
      <c r="S15" s="117">
        <f>SUM(Q15+O15+M15+K15+I15+G15+E15)</f>
        <v>0.92024951</v>
      </c>
      <c r="T15" s="7"/>
    </row>
    <row r="16" spans="1:20" ht="45">
      <c r="A16" s="86" t="s">
        <v>12</v>
      </c>
      <c r="B16" s="86"/>
      <c r="C16" s="6" t="s">
        <v>19</v>
      </c>
      <c r="D16" s="116">
        <f>+E16</f>
        <v>0.1455</v>
      </c>
      <c r="E16" s="116">
        <v>0.1455</v>
      </c>
      <c r="F16" s="116">
        <v>0.08</v>
      </c>
      <c r="G16" s="116">
        <v>0.012</v>
      </c>
      <c r="H16" s="116">
        <v>1.005</v>
      </c>
      <c r="I16" s="116">
        <v>0.151</v>
      </c>
      <c r="J16" s="116">
        <v>0.697651</v>
      </c>
      <c r="K16" s="116">
        <v>0.10489894</v>
      </c>
      <c r="L16" s="117">
        <v>0.716667</v>
      </c>
      <c r="M16" s="117">
        <v>0.1075</v>
      </c>
      <c r="N16" s="117">
        <v>0.716667</v>
      </c>
      <c r="O16" s="117">
        <v>0.1075</v>
      </c>
      <c r="P16" s="117">
        <f>1.064666-0.1455+0.019349</f>
        <v>0.9385149999999999</v>
      </c>
      <c r="Q16" s="117">
        <f>0.15945-0.1455+0.002651</f>
        <v>0.01660100000000002</v>
      </c>
      <c r="R16" s="117">
        <f>SUM(P16+N16+L16+J16+H16+F16+D16)</f>
        <v>4.300000000000001</v>
      </c>
      <c r="S16" s="117">
        <f>SUM(Q16+O16+M16+K16+I16+G16+E16)</f>
        <v>0.6449999399999999</v>
      </c>
      <c r="T16" s="52"/>
    </row>
    <row r="17" spans="1:20" ht="67.5">
      <c r="A17" s="86" t="s">
        <v>13</v>
      </c>
      <c r="B17" s="86"/>
      <c r="C17" s="6" t="s">
        <v>20</v>
      </c>
      <c r="D17" s="116"/>
      <c r="E17" s="116"/>
      <c r="F17" s="116">
        <v>0.045</v>
      </c>
      <c r="G17" s="116">
        <v>0.011</v>
      </c>
      <c r="H17" s="116">
        <v>0.07</v>
      </c>
      <c r="I17" s="116">
        <v>0.018</v>
      </c>
      <c r="J17" s="116">
        <f>+K17/0.25</f>
        <v>0.05379028</v>
      </c>
      <c r="K17" s="116">
        <v>0.01344757</v>
      </c>
      <c r="L17" s="117">
        <v>0.183333</v>
      </c>
      <c r="M17" s="117">
        <v>0.045833</v>
      </c>
      <c r="N17" s="117">
        <v>0.183333</v>
      </c>
      <c r="O17" s="117">
        <v>0.045833</v>
      </c>
      <c r="P17" s="117">
        <f>0.435334+0.067+0.06221</f>
        <v>0.564544</v>
      </c>
      <c r="Q17" s="117">
        <f>0.108584+0.017+0.015552</f>
        <v>0.141136</v>
      </c>
      <c r="R17" s="117">
        <f>SUM(P17+N17+L17+J17+H17+F17)</f>
        <v>1.10000028</v>
      </c>
      <c r="S17" s="117">
        <f>SUM(Q17+O17+M17+K17+I17+G17)</f>
        <v>0.27524957</v>
      </c>
      <c r="T17" s="52"/>
    </row>
    <row r="18" spans="1:19" ht="33.75">
      <c r="A18" s="86"/>
      <c r="B18" s="86" t="s">
        <v>61</v>
      </c>
      <c r="C18" s="6" t="s">
        <v>7</v>
      </c>
      <c r="D18" s="116">
        <f aca="true" t="shared" si="3" ref="D18:D26">+E18</f>
        <v>0.019107</v>
      </c>
      <c r="E18" s="116">
        <v>0.019107</v>
      </c>
      <c r="F18" s="116">
        <f>0.642-0.642</f>
        <v>0</v>
      </c>
      <c r="G18" s="116">
        <f>+F18/2</f>
        <v>0</v>
      </c>
      <c r="H18" s="116">
        <v>0</v>
      </c>
      <c r="I18" s="116">
        <f>+H18*0.5</f>
        <v>0</v>
      </c>
      <c r="J18" s="116">
        <v>0</v>
      </c>
      <c r="K18" s="116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f>+Q18</f>
        <v>0</v>
      </c>
      <c r="Q18" s="117">
        <v>0</v>
      </c>
      <c r="R18" s="117">
        <f>+P18+N18+L18+J18+H18+F18+D18</f>
        <v>0.019107</v>
      </c>
      <c r="S18" s="117">
        <f>+Q18+O18+M18+K18+I18+G18+E18</f>
        <v>0.019107</v>
      </c>
    </row>
    <row r="19" spans="1:20" ht="33.75">
      <c r="A19" s="86">
        <v>6</v>
      </c>
      <c r="B19" s="86" t="s">
        <v>66</v>
      </c>
      <c r="C19" s="6" t="s">
        <v>25</v>
      </c>
      <c r="D19" s="116">
        <f t="shared" si="3"/>
        <v>0.160714</v>
      </c>
      <c r="E19" s="116">
        <v>0.160714</v>
      </c>
      <c r="F19" s="116">
        <v>13.91558</v>
      </c>
      <c r="G19" s="116">
        <v>2.08733699</v>
      </c>
      <c r="H19" s="116">
        <v>14.258</v>
      </c>
      <c r="I19" s="116">
        <v>2.13875472</v>
      </c>
      <c r="J19" s="116">
        <f>+K19/0.15</f>
        <v>22.348246666666668</v>
      </c>
      <c r="K19" s="116">
        <v>3.352237</v>
      </c>
      <c r="L19" s="117">
        <v>10.1</v>
      </c>
      <c r="M19" s="117">
        <v>1.515</v>
      </c>
      <c r="N19" s="117">
        <v>7.383793</v>
      </c>
      <c r="O19" s="117">
        <f>+N19*0.15-E19+0.024102</f>
        <v>0.9709569499999998</v>
      </c>
      <c r="P19" s="117">
        <v>0</v>
      </c>
      <c r="Q19" s="117">
        <v>0</v>
      </c>
      <c r="R19" s="117">
        <f>+P19+N19+L19+J19+H19+F19+D19</f>
        <v>68.16633366666667</v>
      </c>
      <c r="S19" s="117">
        <f aca="true" t="shared" si="4" ref="S19:S25">+Q19+O19+M19+K19+I19+G19+E19</f>
        <v>10.22499966</v>
      </c>
      <c r="T19" s="52"/>
    </row>
    <row r="20" spans="1:20" ht="33.75">
      <c r="A20" s="86">
        <v>7</v>
      </c>
      <c r="B20" s="86" t="s">
        <v>67</v>
      </c>
      <c r="C20" s="6" t="s">
        <v>26</v>
      </c>
      <c r="D20" s="116">
        <f t="shared" si="3"/>
        <v>0.004464</v>
      </c>
      <c r="E20" s="116">
        <v>0.004464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f>+Q20</f>
        <v>0</v>
      </c>
      <c r="Q20" s="117">
        <v>0</v>
      </c>
      <c r="R20" s="117">
        <f aca="true" t="shared" si="5" ref="R20:R25">+P20+N20+L20+J20+H20+F20+D20</f>
        <v>0.004464</v>
      </c>
      <c r="S20" s="117">
        <f t="shared" si="4"/>
        <v>0.004464</v>
      </c>
      <c r="T20" s="52"/>
    </row>
    <row r="21" spans="1:20" ht="12.75">
      <c r="A21" s="86">
        <v>8</v>
      </c>
      <c r="B21" s="86" t="s">
        <v>62</v>
      </c>
      <c r="C21" s="6" t="s">
        <v>27</v>
      </c>
      <c r="D21" s="116">
        <f t="shared" si="3"/>
        <v>0.006696</v>
      </c>
      <c r="E21" s="116">
        <v>0.006696</v>
      </c>
      <c r="F21" s="116">
        <v>0.075</v>
      </c>
      <c r="G21" s="116">
        <v>0.03749989</v>
      </c>
      <c r="H21" s="116">
        <v>0.135</v>
      </c>
      <c r="I21" s="116">
        <v>0.0675</v>
      </c>
      <c r="J21" s="116">
        <v>0.135</v>
      </c>
      <c r="K21" s="116">
        <v>0.0675</v>
      </c>
      <c r="L21" s="117">
        <v>0.135</v>
      </c>
      <c r="M21" s="117">
        <v>0.068</v>
      </c>
      <c r="N21" s="117">
        <v>0.1355</v>
      </c>
      <c r="O21" s="117">
        <v>0.068</v>
      </c>
      <c r="P21" s="117">
        <f>0.1345-0.006696</f>
        <v>0.127804</v>
      </c>
      <c r="Q21" s="117">
        <f>0.068-0.002-0.006696+0.0005</f>
        <v>0.059804</v>
      </c>
      <c r="R21" s="117">
        <f t="shared" si="5"/>
        <v>0.75</v>
      </c>
      <c r="S21" s="117">
        <f t="shared" si="4"/>
        <v>0.37499988999999995</v>
      </c>
      <c r="T21" s="52"/>
    </row>
    <row r="22" spans="1:19" ht="45">
      <c r="A22" s="86">
        <v>9</v>
      </c>
      <c r="B22" s="86" t="s">
        <v>63</v>
      </c>
      <c r="C22" s="6" t="s">
        <v>28</v>
      </c>
      <c r="D22" s="116">
        <f t="shared" si="3"/>
        <v>0.005357</v>
      </c>
      <c r="E22" s="116">
        <v>0.005357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7">
        <v>0</v>
      </c>
      <c r="M22" s="117">
        <v>0</v>
      </c>
      <c r="N22" s="117">
        <f>0.168+0.356643</f>
        <v>0.524643</v>
      </c>
      <c r="O22" s="117">
        <f>0.031+0.063643</f>
        <v>0.094643</v>
      </c>
      <c r="P22" s="117">
        <f>0.362-0.005357-0.356643</f>
        <v>0</v>
      </c>
      <c r="Q22" s="117">
        <f>0.069-0.005357-0.063643</f>
        <v>0</v>
      </c>
      <c r="R22" s="117">
        <f t="shared" si="5"/>
        <v>0.5299999999999999</v>
      </c>
      <c r="S22" s="117">
        <f t="shared" si="4"/>
        <v>0.1</v>
      </c>
    </row>
    <row r="23" spans="1:19" ht="22.5">
      <c r="A23" s="86">
        <v>10</v>
      </c>
      <c r="B23" s="86" t="s">
        <v>68</v>
      </c>
      <c r="C23" s="6" t="s">
        <v>29</v>
      </c>
      <c r="D23" s="116">
        <f t="shared" si="3"/>
        <v>0.005357</v>
      </c>
      <c r="E23" s="116">
        <v>0.005357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f>+Q23</f>
        <v>0</v>
      </c>
      <c r="Q23" s="117">
        <v>0</v>
      </c>
      <c r="R23" s="117">
        <f t="shared" si="5"/>
        <v>0.005357</v>
      </c>
      <c r="S23" s="117">
        <f t="shared" si="4"/>
        <v>0.005357</v>
      </c>
    </row>
    <row r="24" spans="1:20" ht="33.75">
      <c r="A24" s="86">
        <v>11</v>
      </c>
      <c r="B24" s="86" t="s">
        <v>69</v>
      </c>
      <c r="C24" s="6" t="s">
        <v>30</v>
      </c>
      <c r="D24" s="116">
        <f t="shared" si="3"/>
        <v>0.064286</v>
      </c>
      <c r="E24" s="116">
        <v>0.064286</v>
      </c>
      <c r="F24" s="116">
        <v>0</v>
      </c>
      <c r="G24" s="116">
        <v>0</v>
      </c>
      <c r="H24" s="116">
        <v>0.998</v>
      </c>
      <c r="I24" s="116">
        <v>0.29529291</v>
      </c>
      <c r="J24" s="116">
        <v>2.30450835</v>
      </c>
      <c r="K24" s="116">
        <v>0.68213447</v>
      </c>
      <c r="L24" s="117">
        <v>2.491</v>
      </c>
      <c r="M24" s="117">
        <v>0.738</v>
      </c>
      <c r="N24" s="117">
        <f>2.333+1.351351</f>
        <v>3.6843510000000004</v>
      </c>
      <c r="O24" s="117">
        <f>0.691+0.4</f>
        <v>1.091</v>
      </c>
      <c r="P24" s="117">
        <f>3.838-0.064286-0.888+1.756756-0.671637-1.351351-0.011249</f>
        <v>2.6082330000000007</v>
      </c>
      <c r="Q24" s="117">
        <f>1.137707-0.064286-0.262+0.52-0.198805-0.4-0.003329</f>
        <v>0.729287</v>
      </c>
      <c r="R24" s="117">
        <f t="shared" si="5"/>
        <v>12.150378349999999</v>
      </c>
      <c r="S24" s="117">
        <f t="shared" si="4"/>
        <v>3.6000003800000004</v>
      </c>
      <c r="T24" s="52"/>
    </row>
    <row r="25" spans="1:20" ht="22.5">
      <c r="A25" s="86">
        <v>12</v>
      </c>
      <c r="B25" s="86" t="s">
        <v>70</v>
      </c>
      <c r="C25" s="6" t="s">
        <v>31</v>
      </c>
      <c r="D25" s="116">
        <f t="shared" si="3"/>
        <v>0.108179</v>
      </c>
      <c r="E25" s="116">
        <v>0.108179</v>
      </c>
      <c r="F25" s="116">
        <v>2.76</v>
      </c>
      <c r="G25" s="116">
        <v>0.81642593</v>
      </c>
      <c r="H25" s="116">
        <v>1.791</v>
      </c>
      <c r="I25" s="116">
        <v>0.48753624</v>
      </c>
      <c r="J25" s="116">
        <v>3.333611</v>
      </c>
      <c r="K25" s="116">
        <v>0.9720311</v>
      </c>
      <c r="L25" s="117">
        <v>3.343</v>
      </c>
      <c r="M25" s="117">
        <v>0.779</v>
      </c>
      <c r="N25" s="117">
        <f>4.137+1.717077</f>
        <v>5.854076999999999</v>
      </c>
      <c r="O25" s="117">
        <f>0.964+0.4</f>
        <v>1.3639999999999999</v>
      </c>
      <c r="P25" s="117">
        <f>8.029-0.108179-1.382+1.387419-1.717077</f>
        <v>6.209163</v>
      </c>
      <c r="Q25" s="117">
        <f>1.627038-0.108179-0.322+0.127969-0.4</f>
        <v>0.9248279999999999</v>
      </c>
      <c r="R25" s="117">
        <f t="shared" si="5"/>
        <v>23.399030000000003</v>
      </c>
      <c r="S25" s="117">
        <f t="shared" si="4"/>
        <v>5.452000269999999</v>
      </c>
      <c r="T25" s="52"/>
    </row>
    <row r="26" spans="1:20" s="4" customFormat="1" ht="12.75">
      <c r="A26" s="86">
        <v>13</v>
      </c>
      <c r="B26" s="86" t="s">
        <v>64</v>
      </c>
      <c r="C26" s="6" t="s">
        <v>32</v>
      </c>
      <c r="D26" s="118">
        <f t="shared" si="3"/>
        <v>1.12625</v>
      </c>
      <c r="E26" s="116">
        <v>1.12625</v>
      </c>
      <c r="F26" s="116">
        <f>11.3217522</f>
        <v>11.3217522</v>
      </c>
      <c r="G26" s="116">
        <f>5.6608761</f>
        <v>5.6608761</v>
      </c>
      <c r="H26" s="116">
        <v>16.95335428</v>
      </c>
      <c r="I26" s="116">
        <v>8.47667714</v>
      </c>
      <c r="J26" s="116">
        <v>16.1281301</v>
      </c>
      <c r="K26" s="116">
        <f>+J26/2</f>
        <v>8.06406505</v>
      </c>
      <c r="L26" s="117">
        <f>15.75+0.008418</f>
        <v>15.758418</v>
      </c>
      <c r="M26" s="117">
        <f>7.875+0.004209</f>
        <v>7.879209</v>
      </c>
      <c r="N26" s="117">
        <v>15.484</v>
      </c>
      <c r="O26" s="117">
        <v>7.742</v>
      </c>
      <c r="P26" s="117">
        <f>16.795562-1.12625-1.082+0.06251-0.246223</f>
        <v>14.403598999999998</v>
      </c>
      <c r="Q26" s="117">
        <f>8.396115-1.12625-0.539+0.029467-0.123112</f>
        <v>6.637220000000001</v>
      </c>
      <c r="R26" s="117">
        <f>P26+N26+L26+J26+H26+F26+D26</f>
        <v>91.17550358000001</v>
      </c>
      <c r="S26" s="117">
        <f>Q26+O26+M26+K26+I26+G26+E26</f>
        <v>45.58629729</v>
      </c>
      <c r="T26" s="48"/>
    </row>
    <row r="27" spans="1:22" s="4" customFormat="1" ht="12.75">
      <c r="A27" s="86"/>
      <c r="B27" s="86"/>
      <c r="C27" s="6" t="s">
        <v>5</v>
      </c>
      <c r="D27" s="118">
        <v>31.3082581</v>
      </c>
      <c r="E27" s="116">
        <f>+D27/2</f>
        <v>15.65412905</v>
      </c>
      <c r="F27" s="116">
        <f>2.0217454+0.003332</f>
        <v>2.0250774</v>
      </c>
      <c r="G27" s="116">
        <f>1.01099386+0.003332</f>
        <v>1.0143258599999998</v>
      </c>
      <c r="H27" s="116">
        <v>0.75170132</v>
      </c>
      <c r="I27" s="116">
        <v>0.37585066</v>
      </c>
      <c r="J27" s="116">
        <v>0.87946014</v>
      </c>
      <c r="K27" s="116">
        <f>+J27/2</f>
        <v>0.43973007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17"/>
      <c r="R27" s="117">
        <f>P27+N27+L27+J27+H27+F27+D27</f>
        <v>34.96449696</v>
      </c>
      <c r="S27" s="117">
        <f>Q27+O27+M27+K27+I27+G27+E27</f>
        <v>17.48403564</v>
      </c>
      <c r="T27" s="48"/>
      <c r="U27" s="48"/>
      <c r="V27" s="5"/>
    </row>
    <row r="28" spans="1:20" ht="33.75">
      <c r="A28" s="86">
        <v>14</v>
      </c>
      <c r="B28" s="86" t="s">
        <v>65</v>
      </c>
      <c r="C28" s="6" t="s">
        <v>33</v>
      </c>
      <c r="D28" s="116">
        <f>+E28</f>
        <v>0.271072</v>
      </c>
      <c r="E28" s="116">
        <v>0.271072</v>
      </c>
      <c r="F28" s="116">
        <v>3.945877</v>
      </c>
      <c r="G28" s="116">
        <f>1.9729385</f>
        <v>1.9729385</v>
      </c>
      <c r="H28" s="116">
        <v>6.53143032</v>
      </c>
      <c r="I28" s="116">
        <v>3.26571516</v>
      </c>
      <c r="J28" s="116">
        <v>7.7910946</v>
      </c>
      <c r="K28" s="116">
        <f>+J28*0.5</f>
        <v>3.8955473</v>
      </c>
      <c r="L28" s="117">
        <v>6.695582</v>
      </c>
      <c r="M28" s="117">
        <f>+L28*0.5</f>
        <v>3.347791</v>
      </c>
      <c r="N28" s="117">
        <f>4.222-0.001233</f>
        <v>4.220767</v>
      </c>
      <c r="O28" s="117">
        <f>+N28*0.5-0.136236-0.021</f>
        <v>1.9531475000000003</v>
      </c>
      <c r="P28" s="117">
        <v>0.862777</v>
      </c>
      <c r="Q28" s="117">
        <f>+P28*0.5</f>
        <v>0.4313885</v>
      </c>
      <c r="R28" s="117">
        <f>SUM(D28+F28+H28+J28+L28+N28+P28)</f>
        <v>30.318599920000004</v>
      </c>
      <c r="S28" s="117">
        <f>SUM(E28+G28+I28+K28+M28+O28+Q28)</f>
        <v>15.13759996</v>
      </c>
      <c r="T28" s="52"/>
    </row>
    <row r="29" spans="1:20" ht="56.25">
      <c r="A29" s="86" t="s">
        <v>8</v>
      </c>
      <c r="B29" s="86" t="s">
        <v>71</v>
      </c>
      <c r="C29" s="6" t="s">
        <v>34</v>
      </c>
      <c r="D29" s="116">
        <f>+E29</f>
        <v>0.004357</v>
      </c>
      <c r="E29" s="116">
        <v>0.004357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f>+Q29</f>
        <v>0</v>
      </c>
      <c r="Q29" s="117">
        <v>0</v>
      </c>
      <c r="R29" s="117">
        <f aca="true" t="shared" si="6" ref="R29:S32">+P29+N29+L29+J29+H29+F29+D29</f>
        <v>0.004357</v>
      </c>
      <c r="S29" s="117">
        <f t="shared" si="6"/>
        <v>0.004357</v>
      </c>
      <c r="T29" s="52"/>
    </row>
    <row r="30" spans="1:21" ht="45">
      <c r="A30" s="86" t="s">
        <v>36</v>
      </c>
      <c r="B30" s="86" t="s">
        <v>60</v>
      </c>
      <c r="C30" s="6" t="s">
        <v>35</v>
      </c>
      <c r="D30" s="116">
        <f>SUM(D31:D32)</f>
        <v>0</v>
      </c>
      <c r="E30" s="116">
        <f aca="true" t="shared" si="7" ref="E30:P30">SUM(E31:E32)</f>
        <v>0</v>
      </c>
      <c r="F30" s="116">
        <f t="shared" si="7"/>
        <v>2.9090457499999998</v>
      </c>
      <c r="G30" s="116">
        <f t="shared" si="7"/>
        <v>0.465571</v>
      </c>
      <c r="H30" s="116">
        <f t="shared" si="7"/>
        <v>5.552014000000001</v>
      </c>
      <c r="I30" s="116">
        <f>SUM(I31:I32)+0.001</f>
        <v>1.0225399999999998</v>
      </c>
      <c r="J30" s="120">
        <f t="shared" si="7"/>
        <v>8.93057134</v>
      </c>
      <c r="K30" s="116">
        <f t="shared" si="7"/>
        <v>1.8958283100000002</v>
      </c>
      <c r="L30" s="117">
        <f t="shared" si="7"/>
        <v>5.348</v>
      </c>
      <c r="M30" s="117">
        <f>SUM(M31:M32)</f>
        <v>1.134102</v>
      </c>
      <c r="N30" s="117">
        <f t="shared" si="7"/>
        <v>6.462</v>
      </c>
      <c r="O30" s="117">
        <f>SUM(O31:O32)</f>
        <v>1.370606</v>
      </c>
      <c r="P30" s="117">
        <f t="shared" si="7"/>
        <v>4.866369000000001</v>
      </c>
      <c r="Q30" s="117">
        <f>SUM(Q31:Q32)</f>
        <v>1.3393530000000002</v>
      </c>
      <c r="R30" s="117">
        <f t="shared" si="6"/>
        <v>34.06800009</v>
      </c>
      <c r="S30" s="117">
        <f t="shared" si="6"/>
        <v>7.22800031</v>
      </c>
      <c r="T30" s="52"/>
      <c r="U30" s="7"/>
    </row>
    <row r="31" spans="1:20" s="4" customFormat="1" ht="45">
      <c r="A31" s="86" t="s">
        <v>9</v>
      </c>
      <c r="B31" s="86"/>
      <c r="C31" s="6" t="s">
        <v>38</v>
      </c>
      <c r="D31" s="116"/>
      <c r="E31" s="116"/>
      <c r="F31" s="116">
        <v>0</v>
      </c>
      <c r="G31" s="116">
        <v>0</v>
      </c>
      <c r="H31" s="116">
        <v>1.011</v>
      </c>
      <c r="I31" s="116">
        <v>0.299</v>
      </c>
      <c r="J31" s="120">
        <v>3.42534584</v>
      </c>
      <c r="K31" s="116">
        <v>1.01499223</v>
      </c>
      <c r="L31" s="117">
        <v>2.051606</v>
      </c>
      <c r="M31" s="117">
        <v>0.607275</v>
      </c>
      <c r="N31" s="117">
        <v>2.479292</v>
      </c>
      <c r="O31" s="117">
        <v>0.73387</v>
      </c>
      <c r="P31" s="117">
        <f>5.649751-1.538036-0.010959</f>
        <v>4.1007560000000005</v>
      </c>
      <c r="Q31" s="117">
        <f>1.671455-0.45592-0.003672</f>
        <v>1.2118630000000001</v>
      </c>
      <c r="R31" s="117">
        <f t="shared" si="6"/>
        <v>13.06799984</v>
      </c>
      <c r="S31" s="117">
        <f t="shared" si="6"/>
        <v>3.86700023</v>
      </c>
      <c r="T31" s="48"/>
    </row>
    <row r="32" spans="1:20" s="4" customFormat="1" ht="22.5">
      <c r="A32" s="86" t="s">
        <v>10</v>
      </c>
      <c r="B32" s="86"/>
      <c r="C32" s="6" t="s">
        <v>37</v>
      </c>
      <c r="D32" s="116"/>
      <c r="E32" s="116"/>
      <c r="F32" s="116">
        <f>2.90981875-0.000773</f>
        <v>2.9090457499999998</v>
      </c>
      <c r="G32" s="116">
        <v>0.465571</v>
      </c>
      <c r="H32" s="116">
        <f>4.541+0.000014</f>
        <v>4.5410140000000006</v>
      </c>
      <c r="I32" s="116">
        <f>0.723-0.00046</f>
        <v>0.72254</v>
      </c>
      <c r="J32" s="116">
        <v>5.5052255</v>
      </c>
      <c r="K32" s="116">
        <v>0.88083608</v>
      </c>
      <c r="L32" s="117">
        <v>3.296394</v>
      </c>
      <c r="M32" s="117">
        <v>0.526827</v>
      </c>
      <c r="N32" s="117">
        <v>3.982708</v>
      </c>
      <c r="O32" s="117">
        <v>0.636736</v>
      </c>
      <c r="P32" s="117">
        <f>3.257484-2.496031+0.00416</f>
        <v>0.765613</v>
      </c>
      <c r="Q32" s="117">
        <f>0.526054-0.39923+0.000666</f>
        <v>0.12749000000000005</v>
      </c>
      <c r="R32" s="117">
        <f t="shared" si="6"/>
        <v>21.000000250000003</v>
      </c>
      <c r="S32" s="117">
        <f t="shared" si="6"/>
        <v>3.3600000800000003</v>
      </c>
      <c r="T32" s="48"/>
    </row>
    <row r="33" spans="1:19" s="4" customFormat="1" ht="12.75">
      <c r="A33" s="86"/>
      <c r="B33" s="86"/>
      <c r="C33" s="37" t="s">
        <v>53</v>
      </c>
      <c r="D33" s="116">
        <v>0</v>
      </c>
      <c r="E33" s="116">
        <v>0</v>
      </c>
      <c r="F33" s="116"/>
      <c r="G33" s="116"/>
      <c r="H33" s="116"/>
      <c r="I33" s="116"/>
      <c r="J33" s="116"/>
      <c r="K33" s="116"/>
      <c r="L33" s="117"/>
      <c r="M33" s="117"/>
      <c r="N33" s="117"/>
      <c r="O33" s="117"/>
      <c r="P33" s="117"/>
      <c r="Q33" s="117">
        <v>0</v>
      </c>
      <c r="R33" s="117"/>
      <c r="S33" s="117">
        <f>+Q33+O33+M33+K33+I33+G33+E33</f>
        <v>0</v>
      </c>
    </row>
    <row r="34" spans="1:19" s="3" customFormat="1" ht="12.75">
      <c r="A34" s="87"/>
      <c r="B34" s="87"/>
      <c r="C34" s="38" t="s">
        <v>4</v>
      </c>
      <c r="D34" s="116">
        <f>SUM(D33+D30+D29+D28+D27+D26+D25+D24+D23+D22+D21+D20+D19+D18+D15+D12+D11+D10+D9+D8)</f>
        <v>33.42736509999999</v>
      </c>
      <c r="E34" s="116">
        <f>SUM(E33+E30+E29+E28+E27+E26+E25+E24+E23+E22+E21+E20+E19+E18+E15+E12+E11+E10+E9+E8)</f>
        <v>17.773236049999998</v>
      </c>
      <c r="F34" s="116">
        <f>SUM(F30+F29+F28+F27+F26+F25+F24+F23+F22+F21+F20+F19+F18+F15+F12+F11+F10+F9+F8)</f>
        <v>43.73933235</v>
      </c>
      <c r="G34" s="116">
        <f>SUM(G30+G29+G28+G27+G26+G25+G24+G23+G22+G21+G20+G19+G18+G15+G12+G11+G10+G9+G8)</f>
        <v>13.301049059999999</v>
      </c>
      <c r="H34" s="116">
        <f>SUM(H30+H29+H28+H27+H26+H25+H24+H23+H22+H21+H20+H19+H18+H15+H12+H11+H10+H9+H8)</f>
        <v>56.62599992</v>
      </c>
      <c r="I34" s="116">
        <f>SUM(I33+I30+I29+I28+I27+I26+I25+I24+I23+I22+I21+I20+I19+I18+I15+I12+I11+I10+I9+I8)</f>
        <v>18.154125460000003</v>
      </c>
      <c r="J34" s="120">
        <f aca="true" t="shared" si="8" ref="J34:O34">SUM(J30+J29+J28+J27+J26+J25+J24+J23+J22+J21+J20+J19+J18+J15+J12+J11+J10+J9+J8)</f>
        <v>76.60005099666667</v>
      </c>
      <c r="K34" s="116">
        <f t="shared" si="8"/>
        <v>21.956520299999998</v>
      </c>
      <c r="L34" s="119">
        <f t="shared" si="8"/>
        <v>52.241767</v>
      </c>
      <c r="M34" s="119">
        <f t="shared" si="8"/>
        <v>17.32</v>
      </c>
      <c r="N34" s="119">
        <f t="shared" si="8"/>
        <v>59.56130799999999</v>
      </c>
      <c r="O34" s="119">
        <f t="shared" si="8"/>
        <v>17.710000449999995</v>
      </c>
      <c r="P34" s="119">
        <f>SUM(P30+P29+P28+P27+P26+P25+P24+P23+P22+P21+P20+P19+P18+P15+P12+P11+P10+P9+P8)</f>
        <v>44.980286</v>
      </c>
      <c r="Q34" s="119">
        <f>+Q30+Q29+Q28+Q27+Q26+Q25+Q24+Q23+Q22+Q21+Q20+Q19+Q18+Q15+Q12+Q11+Q10+Q9+Q8+Q33</f>
        <v>12.4550165</v>
      </c>
      <c r="R34" s="119">
        <f>SUM(D34+F34+H34+J34+L34+N34+P34)</f>
        <v>367.1761093666666</v>
      </c>
      <c r="S34" s="119">
        <f>SUM(E34+G34+I34+K34+M34+O34+Q34)</f>
        <v>118.66994782</v>
      </c>
    </row>
    <row r="35" spans="1:19" s="5" customFormat="1" ht="12.75">
      <c r="A35" s="34"/>
      <c r="B35" s="34"/>
      <c r="C35" s="28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53"/>
      <c r="S35" s="53"/>
    </row>
    <row r="36" spans="1:2" ht="12.75">
      <c r="A36" s="47" t="s">
        <v>45</v>
      </c>
      <c r="B36" s="35"/>
    </row>
    <row r="37" spans="1:19" s="4" customFormat="1" ht="12.75">
      <c r="A37" s="36"/>
      <c r="B37" s="36"/>
      <c r="C37" s="30"/>
      <c r="E37" s="5"/>
      <c r="G37" s="48"/>
      <c r="I37" s="5"/>
      <c r="K37" s="5"/>
      <c r="M37" s="5"/>
      <c r="O37" s="5"/>
      <c r="P37" s="48"/>
      <c r="Q37" s="5"/>
      <c r="R37" s="48"/>
      <c r="S37" s="5"/>
    </row>
    <row r="38" spans="4:19" ht="12.75">
      <c r="D38" s="76"/>
      <c r="G38" s="49"/>
      <c r="H38" s="48"/>
      <c r="I38" s="48"/>
      <c r="J38" s="75"/>
      <c r="K38" s="48"/>
      <c r="L38" s="48"/>
      <c r="M38" s="48"/>
      <c r="N38" s="48"/>
      <c r="O38" s="48"/>
      <c r="P38" s="48"/>
      <c r="Q38" s="48"/>
      <c r="R38" s="48"/>
      <c r="S38" s="48"/>
    </row>
    <row r="39" spans="4:17" ht="12.75">
      <c r="D39" s="51"/>
      <c r="I39" s="48"/>
      <c r="J39" s="75"/>
      <c r="O39" s="48"/>
      <c r="P39" s="48"/>
      <c r="Q39" s="48">
        <f>+-G38</f>
        <v>0</v>
      </c>
    </row>
    <row r="40" spans="4:16" ht="12.75">
      <c r="D40" s="51"/>
      <c r="J40" s="48"/>
      <c r="O40" s="48"/>
      <c r="P40" s="48"/>
    </row>
    <row r="41" ht="12.75">
      <c r="D41" s="51"/>
    </row>
    <row r="42" ht="12.75">
      <c r="D42" s="51"/>
    </row>
    <row r="43" ht="12.75">
      <c r="D43" s="51"/>
    </row>
    <row r="44" ht="12.75">
      <c r="D44" s="51"/>
    </row>
    <row r="45" ht="12.75">
      <c r="D45" s="51"/>
    </row>
    <row r="46" ht="12.75">
      <c r="D46" s="51"/>
    </row>
    <row r="47" ht="12.75">
      <c r="D47" s="51"/>
    </row>
    <row r="48" ht="12.75">
      <c r="D48" s="51"/>
    </row>
    <row r="49" ht="12.75">
      <c r="D49" s="51"/>
    </row>
    <row r="50" ht="12.75">
      <c r="D50" s="51"/>
    </row>
    <row r="51" ht="12.75">
      <c r="D51" s="51"/>
    </row>
    <row r="52" ht="12.75">
      <c r="D52" s="51"/>
    </row>
    <row r="53" ht="12.75">
      <c r="D53" s="51"/>
    </row>
    <row r="54" ht="12.75">
      <c r="D54" s="51"/>
    </row>
    <row r="55" ht="12.75">
      <c r="D55" s="51"/>
    </row>
    <row r="56" ht="12.75">
      <c r="D56" s="51"/>
    </row>
  </sheetData>
  <mergeCells count="16">
    <mergeCell ref="L6:M6"/>
    <mergeCell ref="N6:O6"/>
    <mergeCell ref="P6:Q6"/>
    <mergeCell ref="R6:S6"/>
    <mergeCell ref="D6:E6"/>
    <mergeCell ref="F6:G6"/>
    <mergeCell ref="H6:I6"/>
    <mergeCell ref="J6:K6"/>
    <mergeCell ref="L5:M5"/>
    <mergeCell ref="N5:O5"/>
    <mergeCell ref="P5:Q5"/>
    <mergeCell ref="R5:S5"/>
    <mergeCell ref="D5:E5"/>
    <mergeCell ref="F5:G5"/>
    <mergeCell ref="H5:I5"/>
    <mergeCell ref="J5:K5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59" r:id="rId1"/>
  <headerFooter alignWithMargins="0">
    <oddHeader>&amp;CPSR 2000-2006</oddHeader>
    <oddFooter>&amp;L&amp;P
&amp;N&amp;C&amp;"Arial Narrow,Normale"&amp;10&amp;F&amp;R&amp;A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tabColor indexed="11"/>
    <pageSetUpPr fitToPage="1"/>
  </sheetPr>
  <dimension ref="A1:V42"/>
  <sheetViews>
    <sheetView showGridLines="0" showZeros="0" workbookViewId="0" topLeftCell="A5">
      <pane xSplit="3" ySplit="3" topLeftCell="D8" activePane="bottomRight" state="frozen"/>
      <selection pane="topLeft" activeCell="C39" sqref="C39"/>
      <selection pane="topRight" activeCell="C39" sqref="C39"/>
      <selection pane="bottomLeft" activeCell="C39" sqref="C39"/>
      <selection pane="bottomRight" activeCell="C39" sqref="C39"/>
    </sheetView>
  </sheetViews>
  <sheetFormatPr defaultColWidth="11.421875" defaultRowHeight="12"/>
  <cols>
    <col min="1" max="1" width="8.00390625" style="9" customWidth="1"/>
    <col min="2" max="2" width="6.8515625" style="2" customWidth="1"/>
    <col min="3" max="3" width="30.00390625" style="4" customWidth="1"/>
    <col min="4" max="5" width="11.7109375" style="17" customWidth="1"/>
    <col min="6" max="6" width="11.7109375" style="4" customWidth="1"/>
    <col min="7" max="7" width="11.7109375" style="10" customWidth="1"/>
    <col min="8" max="19" width="11.7109375" style="4" customWidth="1"/>
    <col min="20" max="20" width="11.57421875" style="4" customWidth="1"/>
    <col min="21" max="16384" width="9.140625" style="4" customWidth="1"/>
  </cols>
  <sheetData>
    <row r="1" spans="1:2" ht="12.75">
      <c r="A1" s="41" t="s">
        <v>46</v>
      </c>
      <c r="B1" s="23"/>
    </row>
    <row r="2" spans="1:2" ht="12.75">
      <c r="A2" s="41"/>
      <c r="B2" s="23"/>
    </row>
    <row r="3" spans="1:2" ht="12.75">
      <c r="A3" s="40" t="s">
        <v>48</v>
      </c>
      <c r="B3" s="33"/>
    </row>
    <row r="5" spans="1:19" s="22" customFormat="1" ht="12.75">
      <c r="A5" s="83"/>
      <c r="B5" s="77"/>
      <c r="C5" s="78"/>
      <c r="D5" s="145" t="s">
        <v>6</v>
      </c>
      <c r="E5" s="145"/>
      <c r="F5" s="146" t="s">
        <v>6</v>
      </c>
      <c r="G5" s="145"/>
      <c r="H5" s="146" t="s">
        <v>6</v>
      </c>
      <c r="I5" s="145"/>
      <c r="J5" s="146" t="s">
        <v>6</v>
      </c>
      <c r="K5" s="145"/>
      <c r="L5" s="147" t="s">
        <v>6</v>
      </c>
      <c r="M5" s="148"/>
      <c r="N5" s="147" t="s">
        <v>6</v>
      </c>
      <c r="O5" s="148"/>
      <c r="P5" s="147" t="s">
        <v>6</v>
      </c>
      <c r="Q5" s="149"/>
      <c r="R5" s="148" t="s">
        <v>1</v>
      </c>
      <c r="S5" s="149"/>
    </row>
    <row r="6" spans="1:19" s="9" customFormat="1" ht="12.75">
      <c r="A6" s="79" t="s">
        <v>73</v>
      </c>
      <c r="B6" s="79" t="s">
        <v>75</v>
      </c>
      <c r="C6" s="80" t="s">
        <v>0</v>
      </c>
      <c r="D6" s="150">
        <v>2000</v>
      </c>
      <c r="E6" s="150"/>
      <c r="F6" s="151">
        <v>2001</v>
      </c>
      <c r="G6" s="152"/>
      <c r="H6" s="150">
        <v>2002</v>
      </c>
      <c r="I6" s="150"/>
      <c r="J6" s="151">
        <v>2003</v>
      </c>
      <c r="K6" s="152"/>
      <c r="L6" s="153">
        <v>2004</v>
      </c>
      <c r="M6" s="153"/>
      <c r="N6" s="154">
        <v>2005</v>
      </c>
      <c r="O6" s="155"/>
      <c r="P6" s="154">
        <v>2006</v>
      </c>
      <c r="Q6" s="155"/>
      <c r="R6" s="153"/>
      <c r="S6" s="155"/>
    </row>
    <row r="7" spans="1:19" ht="38.25">
      <c r="A7" s="81" t="s">
        <v>74</v>
      </c>
      <c r="B7" s="81" t="s">
        <v>76</v>
      </c>
      <c r="C7" s="82"/>
      <c r="D7" s="16" t="s">
        <v>41</v>
      </c>
      <c r="E7" s="14" t="s">
        <v>3</v>
      </c>
      <c r="F7" s="16" t="s">
        <v>41</v>
      </c>
      <c r="G7" s="14" t="s">
        <v>3</v>
      </c>
      <c r="H7" s="16" t="s">
        <v>41</v>
      </c>
      <c r="I7" s="14" t="s">
        <v>3</v>
      </c>
      <c r="J7" s="16" t="s">
        <v>41</v>
      </c>
      <c r="K7" s="14" t="s">
        <v>3</v>
      </c>
      <c r="L7" s="84" t="s">
        <v>41</v>
      </c>
      <c r="M7" s="85" t="s">
        <v>3</v>
      </c>
      <c r="N7" s="84" t="s">
        <v>41</v>
      </c>
      <c r="O7" s="85" t="s">
        <v>3</v>
      </c>
      <c r="P7" s="84" t="s">
        <v>41</v>
      </c>
      <c r="Q7" s="85" t="s">
        <v>3</v>
      </c>
      <c r="R7" s="84" t="s">
        <v>41</v>
      </c>
      <c r="S7" s="85" t="s">
        <v>3</v>
      </c>
    </row>
    <row r="8" spans="1:20" ht="22.5">
      <c r="A8" s="86">
        <v>1</v>
      </c>
      <c r="B8" s="86" t="s">
        <v>56</v>
      </c>
      <c r="C8" s="6" t="s">
        <v>14</v>
      </c>
      <c r="D8" s="116">
        <f>+E8</f>
        <v>0.117857</v>
      </c>
      <c r="E8" s="116">
        <v>0.117857</v>
      </c>
      <c r="F8" s="116">
        <f>2.033958</f>
        <v>2.033958</v>
      </c>
      <c r="G8" s="116">
        <f>0.67791819</f>
        <v>0.67791819</v>
      </c>
      <c r="H8" s="116">
        <v>2.7702285</v>
      </c>
      <c r="I8" s="116">
        <v>0.92331716</v>
      </c>
      <c r="J8" s="116">
        <f>+'1) costi totali + UE'!K8+'3) costi totali +Bolzano'!K8+'4) costi totali +Stato'!K8</f>
        <v>4.223982599999999</v>
      </c>
      <c r="K8" s="116">
        <f>+'1) costi totali + UE'!K8</f>
        <v>1.407853</v>
      </c>
      <c r="L8" s="117">
        <f>+'1) costi totali + UE'!M8+'3) costi totali +Bolzano'!M8+'4) costi totali +Stato'!M8</f>
        <v>1.306695</v>
      </c>
      <c r="M8" s="117">
        <f>+'1) costi totali + UE'!M8</f>
        <v>0.435565</v>
      </c>
      <c r="N8" s="117">
        <f>+'1) costi totali + UE'!O8+'3) costi totali +Bolzano'!O8+'4) costi totali +Stato'!O8</f>
        <v>2.850041</v>
      </c>
      <c r="O8" s="117">
        <f>+'1) costi totali + UE'!O8</f>
        <v>0.950014</v>
      </c>
      <c r="P8" s="117">
        <f>+'1) costi totali + UE'!Q8+'3) costi totali +Bolzano'!Q8+'4) costi totali +Stato'!Q8</f>
        <v>3.887238</v>
      </c>
      <c r="Q8" s="117">
        <f>+'1) costi totali + UE'!Q8</f>
        <v>1.217476</v>
      </c>
      <c r="R8" s="117">
        <f aca="true" t="shared" si="0" ref="R8:S11">+P8+N8+L8+J8+H8+F8+D8</f>
        <v>17.1900001</v>
      </c>
      <c r="S8" s="117">
        <f t="shared" si="0"/>
        <v>5.730000349999999</v>
      </c>
      <c r="T8" s="48"/>
    </row>
    <row r="9" spans="1:20" ht="12.75">
      <c r="A9" s="86">
        <v>2</v>
      </c>
      <c r="B9" s="86" t="s">
        <v>57</v>
      </c>
      <c r="C9" s="6" t="s">
        <v>15</v>
      </c>
      <c r="D9" s="116">
        <f>+E9</f>
        <v>0.03125</v>
      </c>
      <c r="E9" s="116">
        <v>0.03125</v>
      </c>
      <c r="F9" s="116">
        <v>0.57499991</v>
      </c>
      <c r="G9" s="116">
        <v>0.28749995</v>
      </c>
      <c r="H9" s="116">
        <v>1.4975</v>
      </c>
      <c r="I9" s="116">
        <v>0.74875</v>
      </c>
      <c r="J9" s="116">
        <f>+'1) costi totali + UE'!K9+'3) costi totali +Bolzano'!K9+'4) costi totali +Stato'!K9</f>
        <v>1.1025</v>
      </c>
      <c r="K9" s="116">
        <f>+'1) costi totali + UE'!K9</f>
        <v>0.55125</v>
      </c>
      <c r="L9" s="117">
        <f>+'1) costi totali + UE'!M9+'3) costi totali +Bolzano'!M9+'4) costi totali +Stato'!M9</f>
        <v>1.414</v>
      </c>
      <c r="M9" s="117">
        <f>+'1) costi totali + UE'!M9</f>
        <v>0.707</v>
      </c>
      <c r="N9" s="117">
        <f>+'1) costi totali + UE'!O9+'3) costi totali +Bolzano'!O9+'4) costi totali +Stato'!O9</f>
        <v>1.2317504000000001</v>
      </c>
      <c r="O9" s="117">
        <f>+'1) costi totali + UE'!O9</f>
        <v>0.6002500000000001</v>
      </c>
      <c r="P9" s="117">
        <f>+'1) costi totali + UE'!Q9+'3) costi totali +Bolzano'!Q9+'4) costi totali +Stato'!Q9</f>
        <v>0</v>
      </c>
      <c r="Q9" s="117">
        <f>+'1) costi totali + UE'!Q9</f>
        <v>0</v>
      </c>
      <c r="R9" s="117">
        <f t="shared" si="0"/>
        <v>5.85200031</v>
      </c>
      <c r="S9" s="117">
        <f t="shared" si="0"/>
        <v>2.92599995</v>
      </c>
      <c r="T9" s="48"/>
    </row>
    <row r="10" spans="1:19" ht="12.75">
      <c r="A10" s="86">
        <v>3</v>
      </c>
      <c r="B10" s="86" t="s">
        <v>58</v>
      </c>
      <c r="C10" s="6" t="s">
        <v>16</v>
      </c>
      <c r="D10" s="116">
        <f>+E10</f>
        <v>0.006696</v>
      </c>
      <c r="E10" s="116">
        <v>0.006696</v>
      </c>
      <c r="F10" s="116">
        <v>0</v>
      </c>
      <c r="G10" s="116">
        <v>0</v>
      </c>
      <c r="H10" s="116"/>
      <c r="I10" s="116">
        <v>0</v>
      </c>
      <c r="J10" s="116">
        <v>0</v>
      </c>
      <c r="K10" s="116">
        <f>+'1) costi totali + UE'!K10</f>
        <v>0</v>
      </c>
      <c r="L10" s="117">
        <v>0</v>
      </c>
      <c r="M10" s="117">
        <f>+'1) costi totali + UE'!M10</f>
        <v>0</v>
      </c>
      <c r="N10" s="117">
        <v>0</v>
      </c>
      <c r="O10" s="117">
        <f>+'1) costi totali + UE'!O10</f>
        <v>0</v>
      </c>
      <c r="P10" s="117">
        <f>+Q10</f>
        <v>0</v>
      </c>
      <c r="Q10" s="117">
        <f>+'1) costi totali + UE'!Q10</f>
        <v>0</v>
      </c>
      <c r="R10" s="117">
        <f t="shared" si="0"/>
        <v>0.006696</v>
      </c>
      <c r="S10" s="117">
        <f t="shared" si="0"/>
        <v>0.006696</v>
      </c>
    </row>
    <row r="11" spans="1:19" ht="12.75">
      <c r="A11" s="86">
        <v>4</v>
      </c>
      <c r="B11" s="86" t="s">
        <v>59</v>
      </c>
      <c r="C11" s="6" t="s">
        <v>17</v>
      </c>
      <c r="D11" s="116">
        <f>+E11</f>
        <v>0.001786</v>
      </c>
      <c r="E11" s="116">
        <v>0.001786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f>+'1) costi totali + UE'!K11</f>
        <v>0</v>
      </c>
      <c r="L11" s="117">
        <v>0</v>
      </c>
      <c r="M11" s="117">
        <f>+'1) costi totali + UE'!M11</f>
        <v>0</v>
      </c>
      <c r="N11" s="117">
        <v>0</v>
      </c>
      <c r="O11" s="117">
        <f>+'1) costi totali + UE'!O11</f>
        <v>0</v>
      </c>
      <c r="P11" s="117">
        <f>+Q11</f>
        <v>0</v>
      </c>
      <c r="Q11" s="117">
        <f>+'1) costi totali + UE'!Q11</f>
        <v>0</v>
      </c>
      <c r="R11" s="117">
        <f t="shared" si="0"/>
        <v>0.001786</v>
      </c>
      <c r="S11" s="117">
        <f t="shared" si="0"/>
        <v>0.001786</v>
      </c>
    </row>
    <row r="12" spans="1:20" ht="45">
      <c r="A12" s="86" t="s">
        <v>21</v>
      </c>
      <c r="B12" s="86" t="s">
        <v>72</v>
      </c>
      <c r="C12" s="6" t="s">
        <v>39</v>
      </c>
      <c r="D12" s="116">
        <f aca="true" t="shared" si="1" ref="D12:I12">SUM(D13:D14)</f>
        <v>0.040179</v>
      </c>
      <c r="E12" s="116">
        <f t="shared" si="1"/>
        <v>0.040179</v>
      </c>
      <c r="F12" s="116">
        <f t="shared" si="1"/>
        <v>0.77304726</v>
      </c>
      <c r="G12" s="116">
        <f t="shared" si="1"/>
        <v>0.25765665</v>
      </c>
      <c r="H12" s="116">
        <f t="shared" si="1"/>
        <v>0.5518850000000001</v>
      </c>
      <c r="I12" s="116">
        <f t="shared" si="1"/>
        <v>0.18319147</v>
      </c>
      <c r="J12" s="116">
        <f>+'1) costi totali + UE'!K12+'3) costi totali +Bolzano'!K12+'4) costi totali +Stato'!K12</f>
        <v>1.54797063</v>
      </c>
      <c r="K12" s="116">
        <f>+'1) costi totali + UE'!K12</f>
        <v>0.5099974899999999</v>
      </c>
      <c r="L12" s="117">
        <f>+'1) costi totali + UE'!M12+'3) costi totali +Bolzano'!M12+'4) costi totali +Stato'!M12</f>
        <v>1.7339</v>
      </c>
      <c r="M12" s="117">
        <f>+'1) costi totali + UE'!M12</f>
        <v>0.5630000000000001</v>
      </c>
      <c r="N12" s="117">
        <f>+'1) costi totali + UE'!O12+'3) costi totali +Bolzano'!O12+'4) costi totali +Stato'!O12</f>
        <v>4.18115</v>
      </c>
      <c r="O12" s="117">
        <f>+'1) costi totali + UE'!O12</f>
        <v>1.35205</v>
      </c>
      <c r="P12" s="117">
        <f>+'1) costi totali + UE'!Q12+'3) costi totali +Bolzano'!Q12+'4) costi totali +Stato'!Q12</f>
        <v>3.033865</v>
      </c>
      <c r="Q12" s="117">
        <f>+'1) costi totali + UE'!Q12</f>
        <v>0.957923</v>
      </c>
      <c r="R12" s="117">
        <f>SUM(P12+N12+L12+J12+H12+F12+D12)</f>
        <v>11.86199689</v>
      </c>
      <c r="S12" s="117">
        <f>SUM(Q12+O12+M12+K12+I12+G12+E12)</f>
        <v>3.86399761</v>
      </c>
      <c r="T12" s="48"/>
    </row>
    <row r="13" spans="1:20" ht="12.75">
      <c r="A13" s="86" t="s">
        <v>22</v>
      </c>
      <c r="B13" s="86"/>
      <c r="C13" s="6" t="s">
        <v>24</v>
      </c>
      <c r="D13" s="116">
        <f>+E13</f>
        <v>0.040179</v>
      </c>
      <c r="E13" s="116">
        <v>0.040179</v>
      </c>
      <c r="F13" s="116">
        <v>0.77304726</v>
      </c>
      <c r="G13" s="116">
        <v>0.25765665</v>
      </c>
      <c r="H13" s="116">
        <v>0.515885</v>
      </c>
      <c r="I13" s="116">
        <f>0.172+0.00019147</f>
        <v>0.17219146999999999</v>
      </c>
      <c r="J13" s="116">
        <f>+'1) costi totali + UE'!K13+'3) costi totali +Bolzano'!K13+'4) costi totali +Stato'!K13</f>
        <v>1.262339</v>
      </c>
      <c r="K13" s="116">
        <f>+'1) costi totali + UE'!K13</f>
        <v>0.4207376</v>
      </c>
      <c r="L13" s="117">
        <f>+'1) costi totali + UE'!M13+'3) costi totali +Bolzano'!M13+'4) costi totali +Stato'!M13</f>
        <v>1.0139</v>
      </c>
      <c r="M13" s="117">
        <f>+'1) costi totali + UE'!M13</f>
        <v>0.338</v>
      </c>
      <c r="N13" s="117">
        <f>+'1) costi totali + UE'!O13+'3) costi totali +Bolzano'!O13+'4) costi totali +Stato'!O13</f>
        <v>2.1811499999999997</v>
      </c>
      <c r="O13" s="117">
        <f>+'1) costi totali + UE'!O13</f>
        <v>0.72705</v>
      </c>
      <c r="P13" s="117">
        <f>+'1) costi totali + UE'!Q13+'3) costi totali +Bolzano'!Q13+'4) costi totali +Stato'!Q13+0.000251</f>
        <v>1.7554979999999998</v>
      </c>
      <c r="Q13" s="117">
        <f>+'1) costi totali + UE'!Q13</f>
        <v>0.558183</v>
      </c>
      <c r="R13" s="117">
        <f>SUM(P13+N13+L13+J13+H13+F13+D13)</f>
        <v>7.54199826</v>
      </c>
      <c r="S13" s="117">
        <f>SUM(Q13+O13+M13+K13+I13+G13+E13)</f>
        <v>2.51399772</v>
      </c>
      <c r="T13" s="48"/>
    </row>
    <row r="14" spans="1:20" ht="33.75">
      <c r="A14" s="86" t="s">
        <v>23</v>
      </c>
      <c r="B14" s="86"/>
      <c r="C14" s="6" t="s">
        <v>40</v>
      </c>
      <c r="D14" s="116"/>
      <c r="E14" s="116"/>
      <c r="F14" s="116">
        <v>0</v>
      </c>
      <c r="G14" s="116">
        <v>0</v>
      </c>
      <c r="H14" s="116">
        <v>0.036</v>
      </c>
      <c r="I14" s="116">
        <v>0.011</v>
      </c>
      <c r="J14" s="116">
        <f>+'1) costi totali + UE'!K14+'3) costi totali +Bolzano'!K14+'4) costi totali +Stato'!K14</f>
        <v>0.28563162999999997</v>
      </c>
      <c r="K14" s="116">
        <f>+'1) costi totali + UE'!K14</f>
        <v>0.08925989</v>
      </c>
      <c r="L14" s="117">
        <f>+'1) costi totali + UE'!M14+'3) costi totali +Bolzano'!M14+'4) costi totali +Stato'!M14</f>
        <v>0.72</v>
      </c>
      <c r="M14" s="117">
        <f>+'1) costi totali + UE'!M14</f>
        <v>0.225</v>
      </c>
      <c r="N14" s="117">
        <f>+'1) costi totali + UE'!O14+'3) costi totali +Bolzano'!O14+'4) costi totali +Stato'!O14</f>
        <v>2</v>
      </c>
      <c r="O14" s="117">
        <f>+'1) costi totali + UE'!O14</f>
        <v>0.625</v>
      </c>
      <c r="P14" s="117">
        <f>+'1) costi totali + UE'!Q14+'3) costi totali +Bolzano'!Q14+'4) costi totali +Stato'!Q14-0.00025</f>
        <v>1.2783679999999997</v>
      </c>
      <c r="Q14" s="117">
        <f>+'1) costi totali + UE'!Q14</f>
        <v>0.39974</v>
      </c>
      <c r="R14" s="117">
        <f>SUM(P14+N14+L14+J14+H14+F14)</f>
        <v>4.319999629999999</v>
      </c>
      <c r="S14" s="117">
        <f>SUM(Q14+O14+M14+K14+I14+G14)</f>
        <v>1.3499998899999999</v>
      </c>
      <c r="T14" s="56"/>
    </row>
    <row r="15" spans="1:20" ht="45">
      <c r="A15" s="86" t="s">
        <v>11</v>
      </c>
      <c r="B15" s="86" t="s">
        <v>60</v>
      </c>
      <c r="C15" s="6" t="s">
        <v>18</v>
      </c>
      <c r="D15" s="116">
        <f>SUM(D16:D17)</f>
        <v>0.1455</v>
      </c>
      <c r="E15" s="116">
        <f>SUM(E16:E17)</f>
        <v>0.1455</v>
      </c>
      <c r="F15" s="116">
        <f>SUM(F16:F17)-0.001</f>
        <v>0.067</v>
      </c>
      <c r="G15" s="116">
        <f>SUM(G16:G17)</f>
        <v>0.023</v>
      </c>
      <c r="H15" s="116">
        <f>SUM(H16:H17)</f>
        <v>0.458</v>
      </c>
      <c r="I15" s="116">
        <f>SUM(I16:I17)</f>
        <v>0.16899999999999998</v>
      </c>
      <c r="J15" s="116">
        <f>+'1) costi totali + UE'!K15+'3) costi totali +Bolzano'!K15+'4) costi totali +Stato'!K15</f>
        <v>0.32209274</v>
      </c>
      <c r="K15" s="116">
        <f>+'1) costi totali + UE'!K15</f>
        <v>0.11834651</v>
      </c>
      <c r="L15" s="117">
        <f>+'1) costi totali + UE'!M15+'3) costi totali +Bolzano'!M15+'4) costi totali +Stato'!M15-0.0000533-0.000021</f>
        <v>0.430948</v>
      </c>
      <c r="M15" s="117">
        <f>+'1) costi totali + UE'!M15</f>
        <v>0.153333</v>
      </c>
      <c r="N15" s="117">
        <f>+'1) costi totali + UE'!O15+'3) costi totali +Bolzano'!O15+'4) costi totali +Stato'!O15</f>
        <v>0.4312103</v>
      </c>
      <c r="O15" s="117">
        <f>+'1) costi totali + UE'!O15</f>
        <v>0.153333</v>
      </c>
      <c r="P15" s="117">
        <f>+'1) costi totali + UE'!Q15+'3) costi totali +Bolzano'!Q15+'4) costi totali +Stato'!Q15</f>
        <v>0.745499</v>
      </c>
      <c r="Q15" s="117">
        <f>+'1) costi totali + UE'!Q15</f>
        <v>0.15773700000000002</v>
      </c>
      <c r="R15" s="117">
        <f>SUM(P15+N15+L15+J15+H15+F15+D15)</f>
        <v>2.6002500400000006</v>
      </c>
      <c r="S15" s="117">
        <f>SUM(Q15+O15+M15+K15+I15+G15+E15)</f>
        <v>0.92024951</v>
      </c>
      <c r="T15" s="48"/>
    </row>
    <row r="16" spans="1:20" ht="45">
      <c r="A16" s="86" t="s">
        <v>12</v>
      </c>
      <c r="B16" s="86"/>
      <c r="C16" s="6" t="s">
        <v>19</v>
      </c>
      <c r="D16" s="116">
        <f>+E16</f>
        <v>0.1455</v>
      </c>
      <c r="E16" s="116">
        <v>0.1455</v>
      </c>
      <c r="F16" s="116">
        <v>0.032</v>
      </c>
      <c r="G16" s="116">
        <v>0.012</v>
      </c>
      <c r="H16" s="116">
        <v>0.402</v>
      </c>
      <c r="I16" s="116">
        <v>0.151</v>
      </c>
      <c r="J16" s="116">
        <f>+'1) costi totali + UE'!K16+'3) costi totali +Bolzano'!K16+'4) costi totali +Stato'!K16</f>
        <v>0.27906053</v>
      </c>
      <c r="K16" s="116">
        <f>+'1) costi totali + UE'!K16</f>
        <v>0.10489894</v>
      </c>
      <c r="L16" s="117">
        <f>+'1) costi totali + UE'!M16+'3) costi totali +Bolzano'!M16+'4) costi totali +Stato'!M16</f>
        <v>0.284356</v>
      </c>
      <c r="M16" s="117">
        <f>+'1) costi totali + UE'!M16</f>
        <v>0.1075</v>
      </c>
      <c r="N16" s="117">
        <f>+'1) costi totali + UE'!O16+'3) costi totali +Bolzano'!O16+'4) costi totali +Stato'!O16+0.001375</f>
        <v>0.285994</v>
      </c>
      <c r="O16" s="117">
        <f>+'1) costi totali + UE'!O16</f>
        <v>0.1075</v>
      </c>
      <c r="P16" s="117">
        <f>+'1) costi totali + UE'!Q16+'3) costi totali +Bolzano'!Q16+'4) costi totali +Stato'!Q16-0.0000005</f>
        <v>0.2930895</v>
      </c>
      <c r="Q16" s="117">
        <f>+'1) costi totali + UE'!Q16</f>
        <v>0.01660100000000002</v>
      </c>
      <c r="R16" s="117">
        <f>SUM(P16+N16+L16+J16+H16+F16+D16)</f>
        <v>1.72200003</v>
      </c>
      <c r="S16" s="117">
        <f>SUM(Q16+O16+M16+K16+I16+G16+E16)</f>
        <v>0.6449999399999999</v>
      </c>
      <c r="T16" s="48"/>
    </row>
    <row r="17" spans="1:21" ht="67.5">
      <c r="A17" s="86" t="s">
        <v>13</v>
      </c>
      <c r="B17" s="86"/>
      <c r="C17" s="6" t="s">
        <v>20</v>
      </c>
      <c r="D17" s="116"/>
      <c r="E17" s="116"/>
      <c r="F17" s="116">
        <v>0.036</v>
      </c>
      <c r="G17" s="116">
        <v>0.011</v>
      </c>
      <c r="H17" s="116">
        <v>0.056</v>
      </c>
      <c r="I17" s="116">
        <v>0.018</v>
      </c>
      <c r="J17" s="116">
        <f>+'1) costi totali + UE'!K17+'3) costi totali +Bolzano'!K17+'4) costi totali +Stato'!K17</f>
        <v>0.04303221</v>
      </c>
      <c r="K17" s="116">
        <f>+'1) costi totali + UE'!K17</f>
        <v>0.01344757</v>
      </c>
      <c r="L17" s="117">
        <f>+'1) costi totali + UE'!M17+'3) costi totali +Bolzano'!M17+'4) costi totali +Stato'!M17+0.000354</f>
        <v>0.1470203</v>
      </c>
      <c r="M17" s="117">
        <f>+'1) costi totali + UE'!M17</f>
        <v>0.045833</v>
      </c>
      <c r="N17" s="117">
        <f>+'1) costi totali + UE'!O17+'3) costi totali +Bolzano'!O17+'4) costi totali +Stato'!O17</f>
        <v>0.14659129999999998</v>
      </c>
      <c r="O17" s="117">
        <f>+'1) costi totali + UE'!O17</f>
        <v>0.045833</v>
      </c>
      <c r="P17" s="117">
        <f>+'1) costi totali + UE'!Q17+'3) costi totali +Bolzano'!Q17+'4) costi totali +Stato'!Q17+0.001197</f>
        <v>0.452606</v>
      </c>
      <c r="Q17" s="117">
        <f>+'1) costi totali + UE'!Q17</f>
        <v>0.141136</v>
      </c>
      <c r="R17" s="117">
        <f>SUM(P17+N17+L17+J17+H17+F17)</f>
        <v>0.88124981</v>
      </c>
      <c r="S17" s="117">
        <f>SUM(Q17+O17+M17+K17+I17+G17)</f>
        <v>0.27524957</v>
      </c>
      <c r="T17" s="48"/>
      <c r="U17" s="48"/>
    </row>
    <row r="18" spans="1:19" ht="33.75">
      <c r="A18" s="86"/>
      <c r="B18" s="86" t="s">
        <v>61</v>
      </c>
      <c r="C18" s="6" t="s">
        <v>7</v>
      </c>
      <c r="D18" s="116">
        <f aca="true" t="shared" si="2" ref="D18:D26">+E18</f>
        <v>0.019107</v>
      </c>
      <c r="E18" s="116">
        <v>0.019107</v>
      </c>
      <c r="F18" s="116">
        <f>0.642-0.642</f>
        <v>0</v>
      </c>
      <c r="G18" s="116">
        <f>+F18/2</f>
        <v>0</v>
      </c>
      <c r="H18" s="116">
        <v>0</v>
      </c>
      <c r="I18" s="116">
        <f>+H18*0.5</f>
        <v>0</v>
      </c>
      <c r="J18" s="116">
        <v>0</v>
      </c>
      <c r="K18" s="116">
        <f>+'1) costi totali + UE'!K18</f>
        <v>0</v>
      </c>
      <c r="L18" s="117">
        <v>0</v>
      </c>
      <c r="M18" s="117">
        <f>+'1) costi totali + UE'!M18</f>
        <v>0</v>
      </c>
      <c r="N18" s="117">
        <v>0</v>
      </c>
      <c r="O18" s="117">
        <f>+'1) costi totali + UE'!O18</f>
        <v>0</v>
      </c>
      <c r="P18" s="117">
        <f>+Q18</f>
        <v>0</v>
      </c>
      <c r="Q18" s="117">
        <f>+'1) costi totali + UE'!Q18</f>
        <v>0</v>
      </c>
      <c r="R18" s="117">
        <f>+P18+N18+L18+J18+H18+F18+D18</f>
        <v>0.019107</v>
      </c>
      <c r="S18" s="117">
        <f>+Q18+O18+M18+K18+I18+G18+E18</f>
        <v>0.019107</v>
      </c>
    </row>
    <row r="19" spans="1:20" ht="33.75">
      <c r="A19" s="86">
        <v>6</v>
      </c>
      <c r="B19" s="86" t="s">
        <v>66</v>
      </c>
      <c r="C19" s="6" t="s">
        <v>25</v>
      </c>
      <c r="D19" s="116">
        <f t="shared" si="2"/>
        <v>0.160714</v>
      </c>
      <c r="E19" s="116">
        <v>0.160714</v>
      </c>
      <c r="F19" s="116">
        <v>5.56623198</v>
      </c>
      <c r="G19" s="116">
        <v>2.08733699</v>
      </c>
      <c r="H19" s="116">
        <v>5.70334593</v>
      </c>
      <c r="I19" s="116">
        <v>2.13875472</v>
      </c>
      <c r="J19" s="116">
        <f>+'1) costi totali + UE'!K19+'3) costi totali +Bolzano'!K19+'4) costi totali +Stato'!K19</f>
        <v>8.939298666666666</v>
      </c>
      <c r="K19" s="116">
        <f>+'1) costi totali + UE'!K19</f>
        <v>3.352237</v>
      </c>
      <c r="L19" s="117">
        <f>+'1) costi totali + UE'!M19+'3) costi totali +Bolzano'!M19+'4) costi totali +Stato'!M19</f>
        <v>4.04</v>
      </c>
      <c r="M19" s="117">
        <f>+'1) costi totali + UE'!M19</f>
        <v>1.515</v>
      </c>
      <c r="N19" s="117">
        <f>+'1) costi totali + UE'!O19+'3) costi totali +Bolzano'!O19+'4) costi totali +Stato'!O19</f>
        <v>2.8564089499999996</v>
      </c>
      <c r="O19" s="117">
        <f>+'1) costi totali + UE'!O19</f>
        <v>0.9709569499999998</v>
      </c>
      <c r="P19" s="117">
        <f>+'1) costi totali + UE'!Q19+'3) costi totali +Bolzano'!Q19+'4) costi totali +Stato'!Q19</f>
        <v>0</v>
      </c>
      <c r="Q19" s="117">
        <f>+'1) costi totali + UE'!Q19</f>
        <v>0</v>
      </c>
      <c r="R19" s="117">
        <f aca="true" t="shared" si="3" ref="R19:R25">+P19+N19+L19+J19+H19+F19+D19</f>
        <v>27.265999526666665</v>
      </c>
      <c r="S19" s="117">
        <f aca="true" t="shared" si="4" ref="S19:S25">+Q19+O19+M19+K19+I19+G19+E19</f>
        <v>10.22499966</v>
      </c>
      <c r="T19" s="48"/>
    </row>
    <row r="20" spans="1:19" ht="33.75">
      <c r="A20" s="86">
        <v>7</v>
      </c>
      <c r="B20" s="86" t="s">
        <v>67</v>
      </c>
      <c r="C20" s="6" t="s">
        <v>26</v>
      </c>
      <c r="D20" s="116">
        <f t="shared" si="2"/>
        <v>0.004464</v>
      </c>
      <c r="E20" s="116">
        <v>0.004464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f>+'1) costi totali + UE'!K20</f>
        <v>0</v>
      </c>
      <c r="L20" s="117">
        <v>0</v>
      </c>
      <c r="M20" s="117">
        <f>+'1) costi totali + UE'!M20</f>
        <v>0</v>
      </c>
      <c r="N20" s="117">
        <v>0</v>
      </c>
      <c r="O20" s="117">
        <f>+'1) costi totali + UE'!O20</f>
        <v>0</v>
      </c>
      <c r="P20" s="117">
        <f>+Q20</f>
        <v>0</v>
      </c>
      <c r="Q20" s="117">
        <f>+'1) costi totali + UE'!Q20</f>
        <v>0</v>
      </c>
      <c r="R20" s="117">
        <f t="shared" si="3"/>
        <v>0.004464</v>
      </c>
      <c r="S20" s="117">
        <f t="shared" si="4"/>
        <v>0.004464</v>
      </c>
    </row>
    <row r="21" spans="1:20" ht="12.75">
      <c r="A21" s="86">
        <v>8</v>
      </c>
      <c r="B21" s="86" t="s">
        <v>62</v>
      </c>
      <c r="C21" s="6" t="s">
        <v>27</v>
      </c>
      <c r="D21" s="116">
        <f t="shared" si="2"/>
        <v>0.006696</v>
      </c>
      <c r="E21" s="116">
        <v>0.006696</v>
      </c>
      <c r="F21" s="116">
        <v>0.07499991</v>
      </c>
      <c r="G21" s="116">
        <v>0.03749989</v>
      </c>
      <c r="H21" s="116">
        <v>0.135</v>
      </c>
      <c r="I21" s="116">
        <v>0.0675</v>
      </c>
      <c r="J21" s="116">
        <f>+'1) costi totali + UE'!K21+'3) costi totali +Bolzano'!K21+'4) costi totali +Stato'!K21</f>
        <v>0.135</v>
      </c>
      <c r="K21" s="116">
        <f>+'1) costi totali + UE'!K21</f>
        <v>0.0675</v>
      </c>
      <c r="L21" s="117">
        <f>+'1) costi totali + UE'!M21+'3) costi totali +Bolzano'!M21+'4) costi totali +Stato'!M21-0.0005</f>
        <v>0.135</v>
      </c>
      <c r="M21" s="117">
        <f>+'1) costi totali + UE'!M21</f>
        <v>0.068</v>
      </c>
      <c r="N21" s="117">
        <f>+'1) costi totali + UE'!O21+'3) costi totali +Bolzano'!O21+'4) costi totali +Stato'!O21</f>
        <v>0.1355</v>
      </c>
      <c r="O21" s="117">
        <f>+'1) costi totali + UE'!O21</f>
        <v>0.068</v>
      </c>
      <c r="P21" s="117">
        <f>+'1) costi totali + UE'!Q21+'3) costi totali +Bolzano'!Q21+'4) costi totali +Stato'!Q21-0.0005</f>
        <v>0.127804</v>
      </c>
      <c r="Q21" s="117">
        <f>+'1) costi totali + UE'!Q21</f>
        <v>0.059804</v>
      </c>
      <c r="R21" s="117">
        <f t="shared" si="3"/>
        <v>0.7499999100000001</v>
      </c>
      <c r="S21" s="117">
        <f t="shared" si="4"/>
        <v>0.37499988999999995</v>
      </c>
      <c r="T21" s="48"/>
    </row>
    <row r="22" spans="1:20" ht="45">
      <c r="A22" s="86">
        <v>9</v>
      </c>
      <c r="B22" s="86" t="s">
        <v>63</v>
      </c>
      <c r="C22" s="6" t="s">
        <v>28</v>
      </c>
      <c r="D22" s="116">
        <f t="shared" si="2"/>
        <v>0.005357</v>
      </c>
      <c r="E22" s="116">
        <v>0.005357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f>+'1) costi totali + UE'!K22</f>
        <v>0</v>
      </c>
      <c r="L22" s="117">
        <v>0</v>
      </c>
      <c r="M22" s="117">
        <f>+'1) costi totali + UE'!M22</f>
        <v>0</v>
      </c>
      <c r="N22" s="117">
        <f>+'1) costi totali + UE'!O22+'3) costi totali +Bolzano'!O22+'4) costi totali +Stato'!O22</f>
        <v>0.259643</v>
      </c>
      <c r="O22" s="117">
        <f>+'1) costi totali + UE'!O22</f>
        <v>0.094643</v>
      </c>
      <c r="P22" s="117">
        <f>+'1) costi totali + UE'!Q22+'3) costi totali +Bolzano'!Q22+'4) costi totali +Stato'!Q22</f>
        <v>0</v>
      </c>
      <c r="Q22" s="117">
        <f>+'1) costi totali + UE'!Q22</f>
        <v>0</v>
      </c>
      <c r="R22" s="117">
        <f t="shared" si="3"/>
        <v>0.265</v>
      </c>
      <c r="S22" s="117">
        <f t="shared" si="4"/>
        <v>0.1</v>
      </c>
      <c r="T22" s="56"/>
    </row>
    <row r="23" spans="1:19" ht="22.5">
      <c r="A23" s="86">
        <v>10</v>
      </c>
      <c r="B23" s="86" t="s">
        <v>68</v>
      </c>
      <c r="C23" s="6" t="s">
        <v>29</v>
      </c>
      <c r="D23" s="116">
        <f t="shared" si="2"/>
        <v>0.005357</v>
      </c>
      <c r="E23" s="116">
        <v>0.005357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f>+'1) costi totali + UE'!K23</f>
        <v>0</v>
      </c>
      <c r="L23" s="117">
        <v>0</v>
      </c>
      <c r="M23" s="117">
        <f>+'1) costi totali + UE'!M23</f>
        <v>0</v>
      </c>
      <c r="N23" s="117">
        <v>0</v>
      </c>
      <c r="O23" s="117">
        <f>+'1) costi totali + UE'!O23</f>
        <v>0</v>
      </c>
      <c r="P23" s="117">
        <f>+Q23</f>
        <v>0</v>
      </c>
      <c r="Q23" s="117">
        <f>+'1) costi totali + UE'!Q23</f>
        <v>0</v>
      </c>
      <c r="R23" s="117">
        <f t="shared" si="3"/>
        <v>0.005357</v>
      </c>
      <c r="S23" s="117">
        <f t="shared" si="4"/>
        <v>0.005357</v>
      </c>
    </row>
    <row r="24" spans="1:20" ht="33.75">
      <c r="A24" s="86">
        <v>11</v>
      </c>
      <c r="B24" s="86" t="s">
        <v>69</v>
      </c>
      <c r="C24" s="6" t="s">
        <v>30</v>
      </c>
      <c r="D24" s="116">
        <f t="shared" si="2"/>
        <v>0.064286</v>
      </c>
      <c r="E24" s="116">
        <v>0.064286</v>
      </c>
      <c r="F24" s="116">
        <v>0</v>
      </c>
      <c r="G24" s="116">
        <v>0</v>
      </c>
      <c r="H24" s="116">
        <v>0.79808897</v>
      </c>
      <c r="I24" s="116">
        <v>0.29529291</v>
      </c>
      <c r="J24" s="116">
        <f>+'1) costi totali + UE'!K24+'3) costi totali +Bolzano'!K24+'4) costi totali +Stato'!K24</f>
        <v>1.8436066800000002</v>
      </c>
      <c r="K24" s="116">
        <f>+'1) costi totali + UE'!K24</f>
        <v>0.68213447</v>
      </c>
      <c r="L24" s="117">
        <f>+'1) costi totali + UE'!M24+'3) costi totali +Bolzano'!M24+'4) costi totali +Stato'!M24+0.000679</f>
        <v>1.994143</v>
      </c>
      <c r="M24" s="117">
        <f>+'1) costi totali + UE'!M24</f>
        <v>0.738</v>
      </c>
      <c r="N24" s="117">
        <f>+'1) costi totali + UE'!O24+'3) costi totali +Bolzano'!O24+'4) costi totali +Stato'!O24</f>
        <v>2.947913</v>
      </c>
      <c r="O24" s="117">
        <f>+'1) costi totali + UE'!O24</f>
        <v>1.091</v>
      </c>
      <c r="P24" s="117">
        <f>+'1) costi totali + UE'!Q24+'3) costi totali +Bolzano'!Q24+'4) costi totali +Stato'!Q24</f>
        <v>2.0719627000000003</v>
      </c>
      <c r="Q24" s="117">
        <f>+'1) costi totali + UE'!Q24</f>
        <v>0.729287</v>
      </c>
      <c r="R24" s="117">
        <f t="shared" si="3"/>
        <v>9.72000035</v>
      </c>
      <c r="S24" s="117">
        <f t="shared" si="4"/>
        <v>3.6000003800000004</v>
      </c>
      <c r="T24" s="48"/>
    </row>
    <row r="25" spans="1:20" ht="22.5">
      <c r="A25" s="86">
        <v>12</v>
      </c>
      <c r="B25" s="86" t="s">
        <v>70</v>
      </c>
      <c r="C25" s="6" t="s">
        <v>31</v>
      </c>
      <c r="D25" s="116">
        <f t="shared" si="2"/>
        <v>0.108179</v>
      </c>
      <c r="E25" s="116">
        <v>0.108179</v>
      </c>
      <c r="F25" s="116">
        <v>2.20774995</v>
      </c>
      <c r="G25" s="116">
        <v>0.81642593</v>
      </c>
      <c r="H25" s="116">
        <v>1.31837815</v>
      </c>
      <c r="I25" s="116">
        <v>0.48753624</v>
      </c>
      <c r="J25" s="116">
        <f>+'1) costi totali + UE'!K25+'3) costi totali +Bolzano'!K25+'4) costi totali +Stato'!K25</f>
        <v>2.6285318</v>
      </c>
      <c r="K25" s="116">
        <f>+'1) costi totali + UE'!K25</f>
        <v>0.9720311</v>
      </c>
      <c r="L25" s="117">
        <f>+'1) costi totali + UE'!M25+'3) costi totali +Bolzano'!M25+'4) costi totali +Stato'!M25</f>
        <v>2.106171</v>
      </c>
      <c r="M25" s="117">
        <f>+'1) costi totali + UE'!M25</f>
        <v>0.779</v>
      </c>
      <c r="N25" s="117">
        <f>+'1) costi totali + UE'!O25+'3) costi totali +Bolzano'!O25+'4) costi totali +Stato'!O25</f>
        <v>3.688068</v>
      </c>
      <c r="O25" s="117">
        <f>+'1) costi totali + UE'!O25</f>
        <v>1.3639999999999999</v>
      </c>
      <c r="P25" s="117">
        <f>+'1) costi totali + UE'!Q25+'3) costi totali +Bolzano'!Q25+'4) costi totali +Stato'!Q25</f>
        <v>2.683922</v>
      </c>
      <c r="Q25" s="117">
        <f>+'1) costi totali + UE'!Q25</f>
        <v>0.9248279999999999</v>
      </c>
      <c r="R25" s="117">
        <f t="shared" si="3"/>
        <v>14.740999900000002</v>
      </c>
      <c r="S25" s="117">
        <f t="shared" si="4"/>
        <v>5.452000269999999</v>
      </c>
      <c r="T25" s="48"/>
    </row>
    <row r="26" spans="1:20" ht="12.75">
      <c r="A26" s="86">
        <v>13</v>
      </c>
      <c r="B26" s="86" t="s">
        <v>64</v>
      </c>
      <c r="C26" s="6" t="s">
        <v>32</v>
      </c>
      <c r="D26" s="118">
        <f t="shared" si="2"/>
        <v>1.12625</v>
      </c>
      <c r="E26" s="116">
        <v>1.12625</v>
      </c>
      <c r="F26" s="116">
        <f>11.3217522</f>
        <v>11.3217522</v>
      </c>
      <c r="G26" s="116">
        <f>5.6608761</f>
        <v>5.6608761</v>
      </c>
      <c r="H26" s="116">
        <v>16.95335428</v>
      </c>
      <c r="I26" s="116">
        <v>8.47667714</v>
      </c>
      <c r="J26" s="116">
        <f>+'1) costi totali + UE'!K26+'3) costi totali +Bolzano'!K26+'4) costi totali +Stato'!K26</f>
        <v>16.1281301</v>
      </c>
      <c r="K26" s="116">
        <f>+'1) costi totali + UE'!K26</f>
        <v>8.06406505</v>
      </c>
      <c r="L26" s="117">
        <f>+'1) costi totali + UE'!M26+'3) costi totali +Bolzano'!M26+'4) costi totali +Stato'!M26</f>
        <v>15.758418</v>
      </c>
      <c r="M26" s="117">
        <f>+'1) costi totali + UE'!M26</f>
        <v>7.879209</v>
      </c>
      <c r="N26" s="117">
        <f>+'1) costi totali + UE'!O26+'3) costi totali +Bolzano'!O26+'4) costi totali +Stato'!O26</f>
        <v>15.484</v>
      </c>
      <c r="O26" s="117">
        <f>+'1) costi totali + UE'!O26</f>
        <v>7.742</v>
      </c>
      <c r="P26" s="117">
        <f>+'1) costi totali + UE'!Q26+'3) costi totali +Bolzano'!Q26+'4) costi totali +Stato'!Q26</f>
        <v>14.403597400000002</v>
      </c>
      <c r="Q26" s="117">
        <f>+'1) costi totali + UE'!Q26</f>
        <v>6.637220000000001</v>
      </c>
      <c r="R26" s="117">
        <f>P26+N26+L26+J26+H26+F26+D26</f>
        <v>91.17550198</v>
      </c>
      <c r="S26" s="117">
        <f>Q26+O26+M26+K26+I26+G26+E26</f>
        <v>45.58629729</v>
      </c>
      <c r="T26" s="48"/>
    </row>
    <row r="27" spans="1:22" ht="12.75">
      <c r="A27" s="86"/>
      <c r="B27" s="86"/>
      <c r="C27" s="6" t="s">
        <v>5</v>
      </c>
      <c r="D27" s="118">
        <v>31.3082581</v>
      </c>
      <c r="E27" s="116">
        <v>15.65412905</v>
      </c>
      <c r="F27" s="116">
        <f>2.021745+0.003332</f>
        <v>2.025077</v>
      </c>
      <c r="G27" s="116">
        <f>1.01099386+0.003332</f>
        <v>1.0143258599999998</v>
      </c>
      <c r="H27" s="116">
        <v>0.75170132</v>
      </c>
      <c r="I27" s="116">
        <v>0.37585066</v>
      </c>
      <c r="J27" s="116">
        <f>+'1) costi totali + UE'!K27+'3) costi totali +Bolzano'!K27+'4) costi totali +Stato'!K27</f>
        <v>0.87946014</v>
      </c>
      <c r="K27" s="116">
        <f>+'1) costi totali + UE'!K27</f>
        <v>0.43973007</v>
      </c>
      <c r="L27" s="117">
        <v>0</v>
      </c>
      <c r="M27" s="117">
        <f>+'1) costi totali + UE'!M27</f>
        <v>0</v>
      </c>
      <c r="N27" s="117">
        <v>0</v>
      </c>
      <c r="O27" s="117">
        <f>+'1) costi totali + UE'!O27</f>
        <v>0</v>
      </c>
      <c r="P27" s="117">
        <v>0</v>
      </c>
      <c r="Q27" s="117">
        <f>+'1) costi totali + UE'!Q27</f>
        <v>0</v>
      </c>
      <c r="R27" s="117">
        <f>P27+N27+L27+J27+H27+F27+D27</f>
        <v>34.96449656</v>
      </c>
      <c r="S27" s="117">
        <f>Q27+O27+M27+K27+I27+G27+E27</f>
        <v>17.48403564</v>
      </c>
      <c r="T27" s="48"/>
      <c r="U27" s="5"/>
      <c r="V27" s="5"/>
    </row>
    <row r="28" spans="1:20" ht="33.75">
      <c r="A28" s="86">
        <v>14</v>
      </c>
      <c r="B28" s="86" t="s">
        <v>65</v>
      </c>
      <c r="C28" s="6" t="s">
        <v>33</v>
      </c>
      <c r="D28" s="116">
        <f>+E28</f>
        <v>0.271072</v>
      </c>
      <c r="E28" s="116">
        <v>0.271072</v>
      </c>
      <c r="F28" s="116">
        <v>3.945877</v>
      </c>
      <c r="G28" s="116">
        <f>1.9729385</f>
        <v>1.9729385</v>
      </c>
      <c r="H28" s="116">
        <v>6.53143032</v>
      </c>
      <c r="I28" s="116">
        <v>3.26571516</v>
      </c>
      <c r="J28" s="116">
        <f>+'1) costi totali + UE'!K28+'3) costi totali +Bolzano'!K28+'4) costi totali +Stato'!K28</f>
        <v>7.7910946</v>
      </c>
      <c r="K28" s="116">
        <f>+'1) costi totali + UE'!K28</f>
        <v>3.8955473</v>
      </c>
      <c r="L28" s="117">
        <f>+'1) costi totali + UE'!M28+'3) costi totali +Bolzano'!M28+'4) costi totali +Stato'!M28</f>
        <v>6.695582</v>
      </c>
      <c r="M28" s="117">
        <f>+'1) costi totali + UE'!M28</f>
        <v>3.347791</v>
      </c>
      <c r="N28" s="117">
        <f>+'1) costi totali + UE'!O28+'3) costi totali +Bolzano'!O28+'4) costi totali +Stato'!O28+0.001</f>
        <v>4.220767</v>
      </c>
      <c r="O28" s="117">
        <f>+'1) costi totali + UE'!O28</f>
        <v>1.9531475000000003</v>
      </c>
      <c r="P28" s="117">
        <f>+'1) costi totali + UE'!Q28+'3) costi totali +Bolzano'!Q28+'4) costi totali +Stato'!Q28</f>
        <v>0.862777</v>
      </c>
      <c r="Q28" s="117">
        <f>+'1) costi totali + UE'!Q28</f>
        <v>0.4313885</v>
      </c>
      <c r="R28" s="117">
        <f>SUM(D28+F28+H28+J28+L28+N28+P28)</f>
        <v>30.318599920000004</v>
      </c>
      <c r="S28" s="117">
        <f>SUM(E28+G28+I28+K28+M28+O28+Q28)</f>
        <v>15.13759996</v>
      </c>
      <c r="T28" s="48"/>
    </row>
    <row r="29" spans="1:19" ht="56.25">
      <c r="A29" s="86" t="s">
        <v>8</v>
      </c>
      <c r="B29" s="86" t="s">
        <v>71</v>
      </c>
      <c r="C29" s="6" t="s">
        <v>34</v>
      </c>
      <c r="D29" s="116">
        <f>+E29</f>
        <v>0.004357</v>
      </c>
      <c r="E29" s="116">
        <v>0.004357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f>+'1) costi totali + UE'!K29</f>
        <v>0</v>
      </c>
      <c r="L29" s="117">
        <v>0</v>
      </c>
      <c r="M29" s="117">
        <f>+'1) costi totali + UE'!M29</f>
        <v>0</v>
      </c>
      <c r="N29" s="117">
        <v>0</v>
      </c>
      <c r="O29" s="117">
        <f>+'1) costi totali + UE'!O29</f>
        <v>0</v>
      </c>
      <c r="P29" s="117">
        <f>+Q29</f>
        <v>0</v>
      </c>
      <c r="Q29" s="117">
        <f>+'1) costi totali + UE'!Q29</f>
        <v>0</v>
      </c>
      <c r="R29" s="117">
        <f aca="true" t="shared" si="5" ref="R29:S32">+P29+N29+L29+J29+H29+F29+D29</f>
        <v>0.004357</v>
      </c>
      <c r="S29" s="117">
        <f t="shared" si="5"/>
        <v>0.004357</v>
      </c>
    </row>
    <row r="30" spans="1:21" ht="45">
      <c r="A30" s="86" t="s">
        <v>36</v>
      </c>
      <c r="B30" s="86" t="s">
        <v>60</v>
      </c>
      <c r="C30" s="6" t="s">
        <v>35</v>
      </c>
      <c r="D30" s="116">
        <f>SUM(D31:D32)</f>
        <v>0</v>
      </c>
      <c r="E30" s="116">
        <f>SUM(E31:E32)</f>
        <v>0</v>
      </c>
      <c r="F30" s="116">
        <f>SUM(F31:F32)</f>
        <v>1.164263</v>
      </c>
      <c r="G30" s="116">
        <f>SUM(G31:G32)</f>
        <v>0.465571</v>
      </c>
      <c r="H30" s="116">
        <f>SUM(H31:H32)</f>
        <v>2.677405</v>
      </c>
      <c r="I30" s="116">
        <f>SUM(I31:I32)+0.001</f>
        <v>1.0225399999999998</v>
      </c>
      <c r="J30" s="116">
        <f>+'1) costi totali + UE'!K30+'3) costi totali +Bolzano'!K30+'4) costi totali +Stato'!K30</f>
        <v>5.1170594099999995</v>
      </c>
      <c r="K30" s="116">
        <f>+'1) costi totali + UE'!K30</f>
        <v>1.8958283100000002</v>
      </c>
      <c r="L30" s="117">
        <f>+'1) costi totali + UE'!M30+'3) costi totali +Bolzano'!M30+'4) costi totali +Stato'!M30+0.000354</f>
        <v>3.0624450000000003</v>
      </c>
      <c r="M30" s="117">
        <f>+'1) costi totali + UE'!M30</f>
        <v>1.134102</v>
      </c>
      <c r="N30" s="117">
        <f>+'1) costi totali + UE'!O30+'3) costi totali +Bolzano'!O30+'4) costi totali +Stato'!O30+0.0003</f>
        <v>3.7025693</v>
      </c>
      <c r="O30" s="117">
        <f>+'1) costi totali + UE'!O30</f>
        <v>1.370606</v>
      </c>
      <c r="P30" s="117">
        <f>+'1) costi totali + UE'!Q30+'3) costi totali +Bolzano'!Q30+'4) costi totali +Stato'!Q30-0.001575+0.0000006</f>
        <v>3.7932586</v>
      </c>
      <c r="Q30" s="117">
        <f>+'1) costi totali + UE'!Q30</f>
        <v>1.3393530000000002</v>
      </c>
      <c r="R30" s="117">
        <f>+P30+N30+L30+J30+H30+F30+D30</f>
        <v>19.51700031</v>
      </c>
      <c r="S30" s="117">
        <f t="shared" si="5"/>
        <v>7.22800031</v>
      </c>
      <c r="U30" s="5"/>
    </row>
    <row r="31" spans="1:20" ht="45">
      <c r="A31" s="86" t="s">
        <v>9</v>
      </c>
      <c r="B31" s="86"/>
      <c r="C31" s="6" t="s">
        <v>38</v>
      </c>
      <c r="D31" s="116"/>
      <c r="E31" s="116"/>
      <c r="F31" s="116">
        <v>0</v>
      </c>
      <c r="G31" s="116">
        <v>0</v>
      </c>
      <c r="H31" s="116">
        <v>0.86</v>
      </c>
      <c r="I31" s="116">
        <v>0.299</v>
      </c>
      <c r="J31" s="116">
        <f>+'1) costi totali + UE'!K31+'3) costi totali +Bolzano'!K31+'4) costi totali +Stato'!K31</f>
        <v>2.91496921</v>
      </c>
      <c r="K31" s="116">
        <f>+'1) costi totali + UE'!K31</f>
        <v>1.01499223</v>
      </c>
      <c r="L31" s="117">
        <f>+'1) costi totali + UE'!M31+'3) costi totali +Bolzano'!M31+'4) costi totali +Stato'!M31</f>
        <v>1.744717</v>
      </c>
      <c r="M31" s="117">
        <f>+'1) costi totali + UE'!M31</f>
        <v>0.607275</v>
      </c>
      <c r="N31" s="117">
        <f>+'1) costi totali + UE'!O31+'3) costi totali +Bolzano'!O31+'4) costi totali +Stato'!O31</f>
        <v>2.1100943</v>
      </c>
      <c r="O31" s="117">
        <f>+'1) costi totali + UE'!O31</f>
        <v>0.73387</v>
      </c>
      <c r="P31" s="117">
        <f>+'1) costi totali + UE'!Q31+'3) costi totali +Bolzano'!Q31+'4) costi totali +Stato'!Q31+0.001563</f>
        <v>3.4892193</v>
      </c>
      <c r="Q31" s="117">
        <f>+'1) costi totali + UE'!Q31</f>
        <v>1.2118630000000001</v>
      </c>
      <c r="R31" s="117">
        <f t="shared" si="5"/>
        <v>11.11899981</v>
      </c>
      <c r="S31" s="117">
        <f t="shared" si="5"/>
        <v>3.86700023</v>
      </c>
      <c r="T31" s="48"/>
    </row>
    <row r="32" spans="1:20" ht="22.5">
      <c r="A32" s="86" t="s">
        <v>10</v>
      </c>
      <c r="B32" s="86"/>
      <c r="C32" s="6" t="s">
        <v>37</v>
      </c>
      <c r="D32" s="116"/>
      <c r="E32" s="116"/>
      <c r="F32" s="116">
        <v>1.164263</v>
      </c>
      <c r="G32" s="116">
        <v>0.465571</v>
      </c>
      <c r="H32" s="116">
        <f>1.817405</f>
        <v>1.817405</v>
      </c>
      <c r="I32" s="116">
        <f>0.723-0.00046</f>
        <v>0.72254</v>
      </c>
      <c r="J32" s="116">
        <f>+'1) costi totali + UE'!K32+'3) costi totali +Bolzano'!K32+'4) costi totali +Stato'!K32</f>
        <v>2.2020902</v>
      </c>
      <c r="K32" s="116">
        <f>+'1) costi totali + UE'!K32</f>
        <v>0.88083608</v>
      </c>
      <c r="L32" s="117">
        <f>+'1) costi totali + UE'!M32+'3) costi totali +Bolzano'!M32+'4) costi totali +Stato'!M32</f>
        <v>1.317374</v>
      </c>
      <c r="M32" s="117">
        <f>+'1) costi totali + UE'!M32</f>
        <v>0.526827</v>
      </c>
      <c r="N32" s="117">
        <f>+'1) costi totali + UE'!O32+'3) costi totali +Bolzano'!O32+'4) costi totali +Stato'!O32</f>
        <v>1.592175</v>
      </c>
      <c r="O32" s="117">
        <f>+'1) costi totali + UE'!O32</f>
        <v>0.636736</v>
      </c>
      <c r="P32" s="117">
        <f>+'1) costi totali + UE'!Q32+'3) costi totali +Bolzano'!Q32+'4) costi totali +Stato'!Q32-0.003483</f>
        <v>0.30669270000000004</v>
      </c>
      <c r="Q32" s="117">
        <f>+'1) costi totali + UE'!Q32</f>
        <v>0.12749000000000005</v>
      </c>
      <c r="R32" s="117">
        <f t="shared" si="5"/>
        <v>8.399999900000001</v>
      </c>
      <c r="S32" s="117">
        <f t="shared" si="5"/>
        <v>3.3600000800000003</v>
      </c>
      <c r="T32" s="48"/>
    </row>
    <row r="33" spans="1:19" ht="12.75">
      <c r="A33" s="86"/>
      <c r="B33" s="86"/>
      <c r="C33" s="6" t="s">
        <v>53</v>
      </c>
      <c r="D33" s="116"/>
      <c r="E33" s="116">
        <v>0</v>
      </c>
      <c r="F33" s="116"/>
      <c r="G33" s="116"/>
      <c r="H33" s="116"/>
      <c r="I33" s="116"/>
      <c r="J33" s="116"/>
      <c r="K33" s="116"/>
      <c r="L33" s="117"/>
      <c r="M33" s="117"/>
      <c r="N33" s="117"/>
      <c r="O33" s="117"/>
      <c r="P33" s="117"/>
      <c r="Q33" s="117">
        <v>0</v>
      </c>
      <c r="R33" s="117"/>
      <c r="S33" s="117">
        <f>+Q33+O33+M33+K33+I33+G33+E33+0</f>
        <v>0</v>
      </c>
    </row>
    <row r="34" spans="1:19" s="10" customFormat="1" ht="12.75">
      <c r="A34" s="87"/>
      <c r="B34" s="87"/>
      <c r="C34" s="37" t="s">
        <v>4</v>
      </c>
      <c r="D34" s="116">
        <f aca="true" t="shared" si="6" ref="D34:I34">SUM(D33+D30+D29+D28+D27+D26+D25+D24+D23+D22+D21+D20+D19+D18+D15+D12+D11+D10+D9+D8)</f>
        <v>33.42736509999999</v>
      </c>
      <c r="E34" s="116">
        <f t="shared" si="6"/>
        <v>17.773236049999998</v>
      </c>
      <c r="F34" s="116">
        <f t="shared" si="6"/>
        <v>29.754956209999996</v>
      </c>
      <c r="G34" s="116">
        <f t="shared" si="6"/>
        <v>13.301049059999999</v>
      </c>
      <c r="H34" s="116">
        <f>SUM(H33+H30+H29+H28+H27+H26+H25+H24+H23+H22+H21+H20+H19+H18+H15+H12+H11+H10+H9+H8)</f>
        <v>40.14631747</v>
      </c>
      <c r="I34" s="116">
        <f t="shared" si="6"/>
        <v>18.154125460000003</v>
      </c>
      <c r="J34" s="116">
        <f aca="true" t="shared" si="7" ref="J34:O34">SUM(J30+J29+J28+J27+J26+J25+J24+J23+J22+J21+J20+J19+J18+J15+J12+J11+J10+J9+J8)</f>
        <v>50.65872736666667</v>
      </c>
      <c r="K34" s="116">
        <f t="shared" si="7"/>
        <v>21.956520299999998</v>
      </c>
      <c r="L34" s="119">
        <f t="shared" si="7"/>
        <v>38.677302000000005</v>
      </c>
      <c r="M34" s="119">
        <f>SUM(M30+M29+M28+M27+M26+M25+M24+M23+M22+M21+M20+M19+M18+M15+M12+M11+M10+M9+M8)</f>
        <v>17.32</v>
      </c>
      <c r="N34" s="119">
        <f t="shared" si="7"/>
        <v>41.989020950000004</v>
      </c>
      <c r="O34" s="119">
        <f t="shared" si="7"/>
        <v>17.710000449999995</v>
      </c>
      <c r="P34" s="119">
        <f>SUM(P30+P29+P28+P27+P26+P25+P24+P23+P22+P21+P20+P19+P18+P15+P12+P11+P10+P9+P8)-0.003138</f>
        <v>31.6067857</v>
      </c>
      <c r="Q34" s="119">
        <f>SUM(Q30+Q29+Q28+Q27+Q26+Q25+Q24+Q23+Q22+Q21+Q20+Q19+Q18+Q15+Q12+Q11+Q10+Q9+Q8)+Q33</f>
        <v>12.4550165</v>
      </c>
      <c r="R34" s="119">
        <f>SUM(D34+F34+H34+J34+L34+N34+P34)-0.002862</f>
        <v>266.25761279666665</v>
      </c>
      <c r="S34" s="119">
        <f>SUM(E34+G34+I34+K34+M34+O34+Q34)</f>
        <v>118.66994782</v>
      </c>
    </row>
    <row r="35" spans="2:19" ht="12.75">
      <c r="B35" s="34"/>
      <c r="C35" s="39"/>
      <c r="D35" s="18"/>
      <c r="E35" s="18"/>
      <c r="F35" s="11"/>
      <c r="G35" s="15"/>
      <c r="H35" s="11"/>
      <c r="I35" s="11"/>
      <c r="J35" s="11"/>
      <c r="K35" s="11"/>
      <c r="L35" s="11"/>
      <c r="M35" s="11"/>
      <c r="N35" s="50"/>
      <c r="O35" s="11"/>
      <c r="P35" s="50"/>
      <c r="Q35" s="11"/>
      <c r="R35" s="50"/>
      <c r="S35" s="27"/>
    </row>
    <row r="36" spans="1:2" ht="12.75">
      <c r="A36" s="57" t="s">
        <v>45</v>
      </c>
      <c r="B36" s="36"/>
    </row>
    <row r="37" spans="2:18" ht="12.75">
      <c r="B37" s="36"/>
      <c r="C37" s="30"/>
      <c r="E37" s="54"/>
      <c r="G37" s="49"/>
      <c r="H37" s="48"/>
      <c r="I37" s="48"/>
      <c r="J37" s="48"/>
      <c r="L37" s="48"/>
      <c r="R37" s="48"/>
    </row>
    <row r="38" spans="2:18" ht="12.75">
      <c r="B38" s="9"/>
      <c r="D38" s="54"/>
      <c r="F38" s="48"/>
      <c r="G38" s="49"/>
      <c r="H38" s="48"/>
      <c r="I38" s="48"/>
      <c r="P38" s="48"/>
      <c r="R38" s="48"/>
    </row>
    <row r="39" spans="10:16" ht="12.75">
      <c r="J39" s="48"/>
      <c r="N39" s="48"/>
      <c r="P39" s="48"/>
    </row>
    <row r="40" spans="4:18" ht="12.75">
      <c r="D40" s="19"/>
      <c r="F40" s="48"/>
      <c r="H40" s="48"/>
      <c r="L40" s="48"/>
      <c r="N40" s="48"/>
      <c r="P40" s="48"/>
      <c r="R40" s="48"/>
    </row>
    <row r="41" spans="6:18" ht="12.75">
      <c r="F41" s="55"/>
      <c r="R41" s="48"/>
    </row>
    <row r="42" ht="12.75">
      <c r="P42" s="48"/>
    </row>
  </sheetData>
  <mergeCells count="16">
    <mergeCell ref="L6:M6"/>
    <mergeCell ref="N6:O6"/>
    <mergeCell ref="P6:Q6"/>
    <mergeCell ref="R6:S6"/>
    <mergeCell ref="D6:E6"/>
    <mergeCell ref="F6:G6"/>
    <mergeCell ref="H6:I6"/>
    <mergeCell ref="J6:K6"/>
    <mergeCell ref="L5:M5"/>
    <mergeCell ref="N5:O5"/>
    <mergeCell ref="P5:Q5"/>
    <mergeCell ref="R5:S5"/>
    <mergeCell ref="D5:E5"/>
    <mergeCell ref="F5:G5"/>
    <mergeCell ref="H5:I5"/>
    <mergeCell ref="J5:K5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60" r:id="rId1"/>
  <headerFooter alignWithMargins="0">
    <oddHeader>&amp;CPSR 2000-2006</oddHeader>
    <oddFooter>&amp;L&amp;P
&amp;N&amp;C&amp;"Arial Narrow,Normale"&amp;10&amp;F&amp;R&amp;A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tabColor indexed="11"/>
    <pageSetUpPr fitToPage="1"/>
  </sheetPr>
  <dimension ref="A1:V39"/>
  <sheetViews>
    <sheetView showGridLines="0" showZeros="0" workbookViewId="0" topLeftCell="A5">
      <pane xSplit="3" ySplit="3" topLeftCell="I13" activePane="bottomRight" state="frozen"/>
      <selection pane="topLeft" activeCell="C39" sqref="C39"/>
      <selection pane="topRight" activeCell="C39" sqref="C39"/>
      <selection pane="bottomLeft" activeCell="C39" sqref="C39"/>
      <selection pane="bottomRight" activeCell="C39" sqref="C39"/>
    </sheetView>
  </sheetViews>
  <sheetFormatPr defaultColWidth="11.421875" defaultRowHeight="12"/>
  <cols>
    <col min="1" max="1" width="6.8515625" style="1" customWidth="1"/>
    <col min="2" max="2" width="6.8515625" style="2" customWidth="1"/>
    <col min="3" max="3" width="30.00390625" style="1" customWidth="1"/>
    <col min="4" max="5" width="11.7109375" style="12" customWidth="1"/>
    <col min="6" max="6" width="11.7109375" style="4" customWidth="1"/>
    <col min="7" max="7" width="11.7109375" style="10" customWidth="1"/>
    <col min="8" max="19" width="11.7109375" style="4" customWidth="1"/>
    <col min="20" max="16384" width="9.140625" style="1" customWidth="1"/>
  </cols>
  <sheetData>
    <row r="1" spans="1:2" ht="12.75">
      <c r="A1" s="3" t="s">
        <v>46</v>
      </c>
      <c r="B1" s="23"/>
    </row>
    <row r="2" spans="1:2" ht="12.75">
      <c r="A2" s="3"/>
      <c r="B2" s="23"/>
    </row>
    <row r="3" spans="1:2" ht="12.75">
      <c r="A3" s="26" t="s">
        <v>49</v>
      </c>
      <c r="B3" s="33"/>
    </row>
    <row r="5" spans="1:19" s="23" customFormat="1" ht="12.75">
      <c r="A5" s="83"/>
      <c r="B5" s="77"/>
      <c r="C5" s="78"/>
      <c r="D5" s="145" t="s">
        <v>6</v>
      </c>
      <c r="E5" s="145"/>
      <c r="F5" s="146" t="s">
        <v>6</v>
      </c>
      <c r="G5" s="145"/>
      <c r="H5" s="146" t="s">
        <v>6</v>
      </c>
      <c r="I5" s="145"/>
      <c r="J5" s="146" t="s">
        <v>6</v>
      </c>
      <c r="K5" s="145"/>
      <c r="L5" s="147" t="s">
        <v>6</v>
      </c>
      <c r="M5" s="148"/>
      <c r="N5" s="147" t="s">
        <v>6</v>
      </c>
      <c r="O5" s="148"/>
      <c r="P5" s="147" t="s">
        <v>6</v>
      </c>
      <c r="Q5" s="149"/>
      <c r="R5" s="148" t="s">
        <v>1</v>
      </c>
      <c r="S5" s="149"/>
    </row>
    <row r="6" spans="1:19" s="2" customFormat="1" ht="12.75">
      <c r="A6" s="79" t="s">
        <v>73</v>
      </c>
      <c r="B6" s="79" t="s">
        <v>75</v>
      </c>
      <c r="C6" s="80" t="s">
        <v>0</v>
      </c>
      <c r="D6" s="150">
        <v>2000</v>
      </c>
      <c r="E6" s="150"/>
      <c r="F6" s="151">
        <v>2001</v>
      </c>
      <c r="G6" s="152"/>
      <c r="H6" s="150">
        <v>2002</v>
      </c>
      <c r="I6" s="150"/>
      <c r="J6" s="151">
        <v>2003</v>
      </c>
      <c r="K6" s="152"/>
      <c r="L6" s="153">
        <v>2004</v>
      </c>
      <c r="M6" s="153"/>
      <c r="N6" s="154">
        <v>2005</v>
      </c>
      <c r="O6" s="155"/>
      <c r="P6" s="154">
        <v>2006</v>
      </c>
      <c r="Q6" s="155"/>
      <c r="R6" s="153"/>
      <c r="S6" s="155"/>
    </row>
    <row r="7" spans="1:19" ht="25.5">
      <c r="A7" s="81" t="s">
        <v>74</v>
      </c>
      <c r="B7" s="81" t="s">
        <v>76</v>
      </c>
      <c r="C7" s="82"/>
      <c r="D7" s="14" t="s">
        <v>2</v>
      </c>
      <c r="E7" s="14" t="s">
        <v>42</v>
      </c>
      <c r="F7" s="14" t="s">
        <v>2</v>
      </c>
      <c r="G7" s="14" t="s">
        <v>42</v>
      </c>
      <c r="H7" s="14" t="s">
        <v>2</v>
      </c>
      <c r="I7" s="14" t="s">
        <v>42</v>
      </c>
      <c r="J7" s="14" t="s">
        <v>2</v>
      </c>
      <c r="K7" s="14" t="s">
        <v>42</v>
      </c>
      <c r="L7" s="85" t="s">
        <v>2</v>
      </c>
      <c r="M7" s="85" t="s">
        <v>42</v>
      </c>
      <c r="N7" s="85" t="s">
        <v>2</v>
      </c>
      <c r="O7" s="85" t="s">
        <v>42</v>
      </c>
      <c r="P7" s="85" t="s">
        <v>2</v>
      </c>
      <c r="Q7" s="85" t="s">
        <v>42</v>
      </c>
      <c r="R7" s="85" t="s">
        <v>2</v>
      </c>
      <c r="S7" s="85" t="s">
        <v>42</v>
      </c>
    </row>
    <row r="8" spans="1:20" s="4" customFormat="1" ht="22.5">
      <c r="A8" s="88">
        <v>1</v>
      </c>
      <c r="B8" s="86" t="s">
        <v>56</v>
      </c>
      <c r="C8" s="6" t="s">
        <v>14</v>
      </c>
      <c r="D8" s="116">
        <v>0.117857</v>
      </c>
      <c r="E8" s="116">
        <v>0</v>
      </c>
      <c r="F8" s="116">
        <v>4.308999999999999</v>
      </c>
      <c r="G8" s="116">
        <v>0.40679161</v>
      </c>
      <c r="H8" s="116">
        <v>5.923</v>
      </c>
      <c r="I8" s="116">
        <v>0.55404569</v>
      </c>
      <c r="J8" s="116">
        <f>+'1) costi totali + UE'!J8</f>
        <v>9.82793762</v>
      </c>
      <c r="K8" s="116">
        <v>0.8447966</v>
      </c>
      <c r="L8" s="117">
        <f>+'1) costi totali + UE'!L8</f>
        <v>2.903767</v>
      </c>
      <c r="M8" s="117">
        <v>0.261339</v>
      </c>
      <c r="N8" s="117">
        <f>+'1) costi totali + UE'!N8</f>
        <v>6.333427</v>
      </c>
      <c r="O8" s="117">
        <v>0.570008</v>
      </c>
      <c r="P8" s="117">
        <f>+'1) costi totali + UE'!P8</f>
        <v>8.785345</v>
      </c>
      <c r="Q8" s="117">
        <v>0.801019</v>
      </c>
      <c r="R8" s="117">
        <f aca="true" t="shared" si="0" ref="R8:S11">+P8+N8+L8+J8+H8+F8+D8</f>
        <v>38.20033362</v>
      </c>
      <c r="S8" s="117">
        <f t="shared" si="0"/>
        <v>3.4379999</v>
      </c>
      <c r="T8" s="48"/>
    </row>
    <row r="9" spans="1:20" ht="12.75">
      <c r="A9" s="88">
        <v>2</v>
      </c>
      <c r="B9" s="86" t="s">
        <v>57</v>
      </c>
      <c r="C9" s="6" t="s">
        <v>15</v>
      </c>
      <c r="D9" s="116">
        <v>0.03125</v>
      </c>
      <c r="E9" s="116">
        <v>0</v>
      </c>
      <c r="F9" s="116">
        <v>0.575</v>
      </c>
      <c r="G9" s="116">
        <v>0.08624998</v>
      </c>
      <c r="H9" s="116">
        <v>1.4975</v>
      </c>
      <c r="I9" s="116">
        <v>0.224625</v>
      </c>
      <c r="J9" s="116">
        <f>+'1) costi totali + UE'!J9</f>
        <v>1.1025</v>
      </c>
      <c r="K9" s="116">
        <f>+J9*0.15</f>
        <v>0.165375</v>
      </c>
      <c r="L9" s="117">
        <f>+'1) costi totali + UE'!L9</f>
        <v>1.414</v>
      </c>
      <c r="M9" s="117">
        <f>+L9*0.15</f>
        <v>0.21209999999999998</v>
      </c>
      <c r="N9" s="117">
        <f>+'1) costi totali + UE'!N9</f>
        <v>1.2317500000000001</v>
      </c>
      <c r="O9" s="117">
        <f>+N9*0.15+0.0048874</f>
        <v>0.18964990000000004</v>
      </c>
      <c r="P9" s="117">
        <f>+'1) costi totali + UE'!P9</f>
        <v>0</v>
      </c>
      <c r="Q9" s="117">
        <f>+P9*0.15</f>
        <v>0</v>
      </c>
      <c r="R9" s="117">
        <f t="shared" si="0"/>
        <v>5.852</v>
      </c>
      <c r="S9" s="117">
        <f t="shared" si="0"/>
        <v>0.87799988</v>
      </c>
      <c r="T9" s="52"/>
    </row>
    <row r="10" spans="1:19" ht="12.75">
      <c r="A10" s="88">
        <v>3</v>
      </c>
      <c r="B10" s="86" t="s">
        <v>58</v>
      </c>
      <c r="C10" s="6" t="s">
        <v>16</v>
      </c>
      <c r="D10" s="116">
        <v>0.006696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f>+'1) costi totali + UE'!J10</f>
        <v>0</v>
      </c>
      <c r="K10" s="116">
        <v>0</v>
      </c>
      <c r="L10" s="117">
        <f>+'1) costi totali + UE'!L10</f>
        <v>0</v>
      </c>
      <c r="M10" s="117">
        <v>0</v>
      </c>
      <c r="N10" s="117">
        <f>+'1) costi totali + UE'!N10</f>
        <v>0</v>
      </c>
      <c r="O10" s="117">
        <v>0</v>
      </c>
      <c r="P10" s="117">
        <f>+'1) costi totali + UE'!P10</f>
        <v>0</v>
      </c>
      <c r="Q10" s="117">
        <v>0</v>
      </c>
      <c r="R10" s="117">
        <f t="shared" si="0"/>
        <v>0.006696</v>
      </c>
      <c r="S10" s="117">
        <f t="shared" si="0"/>
        <v>0</v>
      </c>
    </row>
    <row r="11" spans="1:19" ht="12.75">
      <c r="A11" s="88">
        <v>4</v>
      </c>
      <c r="B11" s="86" t="s">
        <v>59</v>
      </c>
      <c r="C11" s="6" t="s">
        <v>17</v>
      </c>
      <c r="D11" s="116">
        <v>0.001786</v>
      </c>
      <c r="E11" s="116">
        <v>0</v>
      </c>
      <c r="F11" s="116">
        <v>0</v>
      </c>
      <c r="G11" s="116">
        <f>+F11*0.161</f>
        <v>0</v>
      </c>
      <c r="H11" s="116">
        <v>0</v>
      </c>
      <c r="I11" s="116">
        <v>0</v>
      </c>
      <c r="J11" s="116">
        <f>+'1) costi totali + UE'!J11</f>
        <v>0</v>
      </c>
      <c r="K11" s="116">
        <v>0</v>
      </c>
      <c r="L11" s="117">
        <f>+'1) costi totali + UE'!L11</f>
        <v>0</v>
      </c>
      <c r="M11" s="117">
        <f>+L11*0.161</f>
        <v>0</v>
      </c>
      <c r="N11" s="117">
        <f>+'1) costi totali + UE'!N11</f>
        <v>0</v>
      </c>
      <c r="O11" s="117">
        <f>+N11*0.161</f>
        <v>0</v>
      </c>
      <c r="P11" s="117">
        <f>+'1) costi totali + UE'!P11</f>
        <v>0</v>
      </c>
      <c r="Q11" s="117"/>
      <c r="R11" s="117">
        <f t="shared" si="0"/>
        <v>0.001786</v>
      </c>
      <c r="S11" s="117">
        <f t="shared" si="0"/>
        <v>0</v>
      </c>
    </row>
    <row r="12" spans="1:20" s="4" customFormat="1" ht="45">
      <c r="A12" s="88" t="s">
        <v>21</v>
      </c>
      <c r="B12" s="86" t="s">
        <v>72</v>
      </c>
      <c r="C12" s="6" t="s">
        <v>39</v>
      </c>
      <c r="D12" s="116">
        <v>0.040179</v>
      </c>
      <c r="E12" s="116">
        <v>0</v>
      </c>
      <c r="F12" s="116">
        <v>1.778</v>
      </c>
      <c r="G12" s="116">
        <f aca="true" t="shared" si="1" ref="G12:O12">SUM(G13:G14)</f>
        <v>0.15460946</v>
      </c>
      <c r="H12" s="116">
        <f t="shared" si="1"/>
        <v>1.16</v>
      </c>
      <c r="I12" s="116">
        <f>SUM(I13:I14)</f>
        <v>0.11060484</v>
      </c>
      <c r="J12" s="116">
        <f>+'1) costi totali + UE'!J12</f>
        <v>3.0675499</v>
      </c>
      <c r="K12" s="116">
        <f t="shared" si="1"/>
        <v>0.31139360000000005</v>
      </c>
      <c r="L12" s="117">
        <f>+'1) costi totali + UE'!L12</f>
        <v>3.153</v>
      </c>
      <c r="M12" s="117">
        <f t="shared" si="1"/>
        <v>0.35126999999999997</v>
      </c>
      <c r="N12" s="117">
        <f>+'1) costi totali + UE'!N12</f>
        <v>7.347</v>
      </c>
      <c r="O12" s="117">
        <f t="shared" si="1"/>
        <v>0.84873</v>
      </c>
      <c r="P12" s="117">
        <f>+'1) costi totali + UE'!P12</f>
        <v>5.613937</v>
      </c>
      <c r="Q12" s="117">
        <f>SUM(Q13:Q14)</f>
        <v>0.6223920000000001</v>
      </c>
      <c r="R12" s="117">
        <f>SUM(P12+N12+L12+J12+H12+F12+D12)</f>
        <v>22.159665899999997</v>
      </c>
      <c r="S12" s="117">
        <f aca="true" t="shared" si="2" ref="S12:S17">SUM(Q12+O12+M12+K12+I12+G12)</f>
        <v>2.3989999</v>
      </c>
      <c r="T12" s="48"/>
    </row>
    <row r="13" spans="1:20" s="4" customFormat="1" ht="12.75">
      <c r="A13" s="88" t="s">
        <v>22</v>
      </c>
      <c r="B13" s="86"/>
      <c r="C13" s="6" t="s">
        <v>24</v>
      </c>
      <c r="D13" s="116">
        <v>0.040179</v>
      </c>
      <c r="E13" s="116"/>
      <c r="F13" s="116">
        <v>1.778</v>
      </c>
      <c r="G13" s="116">
        <v>0.15460946</v>
      </c>
      <c r="H13" s="116">
        <v>1.115</v>
      </c>
      <c r="I13" s="116">
        <f>0.103+0.00017984</f>
        <v>0.10317984</v>
      </c>
      <c r="J13" s="116">
        <f>+'1) costi totali + UE'!J13</f>
        <v>2.71051034</v>
      </c>
      <c r="K13" s="116">
        <v>0.2524678</v>
      </c>
      <c r="L13" s="117">
        <f>+'1) costi totali + UE'!L13</f>
        <v>2.253</v>
      </c>
      <c r="M13" s="117">
        <v>0.20277</v>
      </c>
      <c r="N13" s="117">
        <f>+'1) costi totali + UE'!N13</f>
        <v>4.847</v>
      </c>
      <c r="O13" s="117">
        <v>0.43623</v>
      </c>
      <c r="P13" s="117">
        <f>+'1) costi totali + UE'!P13</f>
        <v>4.015977</v>
      </c>
      <c r="Q13" s="117">
        <v>0.358743</v>
      </c>
      <c r="R13" s="117">
        <f>SUM(P13+N13+L13+J13+H13+F13+D13)</f>
        <v>16.75966634</v>
      </c>
      <c r="S13" s="117">
        <f t="shared" si="2"/>
        <v>1.5080001</v>
      </c>
      <c r="T13" s="48"/>
    </row>
    <row r="14" spans="1:20" s="4" customFormat="1" ht="33.75">
      <c r="A14" s="88" t="s">
        <v>23</v>
      </c>
      <c r="B14" s="86"/>
      <c r="C14" s="6" t="s">
        <v>40</v>
      </c>
      <c r="D14" s="116"/>
      <c r="E14" s="116"/>
      <c r="F14" s="116">
        <v>0</v>
      </c>
      <c r="G14" s="116">
        <v>0</v>
      </c>
      <c r="H14" s="116">
        <v>0.045</v>
      </c>
      <c r="I14" s="116">
        <f>+H14*0.165</f>
        <v>0.007425</v>
      </c>
      <c r="J14" s="116">
        <f>+'1) costi totali + UE'!J14</f>
        <v>0.35703956</v>
      </c>
      <c r="K14" s="116">
        <v>0.0589258</v>
      </c>
      <c r="L14" s="117">
        <f>+'1) costi totali + UE'!L14</f>
        <v>0.9</v>
      </c>
      <c r="M14" s="117">
        <v>0.1485</v>
      </c>
      <c r="N14" s="117">
        <f>+'1) costi totali + UE'!N14</f>
        <v>2.5</v>
      </c>
      <c r="O14" s="117">
        <f>0.1485+0.264</f>
        <v>0.4125</v>
      </c>
      <c r="P14" s="117">
        <f>+'1) costi totali + UE'!P14</f>
        <v>1.5979599999999996</v>
      </c>
      <c r="Q14" s="117">
        <f>0.438075+0.066+0.023574-0.264</f>
        <v>0.263649</v>
      </c>
      <c r="R14" s="117">
        <f>SUM(P14+N14+L14+J14+H14+F14)</f>
        <v>5.3999995599999995</v>
      </c>
      <c r="S14" s="117">
        <f t="shared" si="2"/>
        <v>0.8909998</v>
      </c>
      <c r="T14" s="48"/>
    </row>
    <row r="15" spans="1:20" ht="45">
      <c r="A15" s="88" t="s">
        <v>11</v>
      </c>
      <c r="B15" s="86" t="s">
        <v>60</v>
      </c>
      <c r="C15" s="6" t="s">
        <v>18</v>
      </c>
      <c r="D15" s="116">
        <v>0.1455</v>
      </c>
      <c r="E15" s="116">
        <v>0</v>
      </c>
      <c r="F15" s="116">
        <v>0.125</v>
      </c>
      <c r="G15" s="116">
        <f aca="true" t="shared" si="3" ref="G15:O15">SUM(G16:G17)</f>
        <v>0.013000000000000001</v>
      </c>
      <c r="H15" s="116">
        <f t="shared" si="3"/>
        <v>1.075</v>
      </c>
      <c r="I15" s="116">
        <f>SUM(I16:I17)</f>
        <v>0.08692499999999999</v>
      </c>
      <c r="J15" s="116">
        <f>+'1) costi totali + UE'!J15</f>
        <v>0.75144128</v>
      </c>
      <c r="K15" s="116">
        <f t="shared" si="3"/>
        <v>0.06134088</v>
      </c>
      <c r="L15" s="117">
        <f>+'1) costi totali + UE'!L15</f>
        <v>0.9</v>
      </c>
      <c r="M15" s="117">
        <f t="shared" si="3"/>
        <v>0.08340600000000001</v>
      </c>
      <c r="N15" s="117">
        <f>+'1) costi totali + UE'!N15</f>
        <v>0.9</v>
      </c>
      <c r="O15" s="117">
        <f t="shared" si="3"/>
        <v>0.083594</v>
      </c>
      <c r="P15" s="117">
        <f>+'1) costi totali + UE'!P15</f>
        <v>1.503059</v>
      </c>
      <c r="Q15" s="117">
        <f>SUM(Q16:Q17)</f>
        <v>0.175734</v>
      </c>
      <c r="R15" s="117">
        <f>SUM(P15+N15+L15+J15+H15+F15+D15)</f>
        <v>5.40000028</v>
      </c>
      <c r="S15" s="117">
        <f t="shared" si="2"/>
        <v>0.50399988</v>
      </c>
      <c r="T15" s="52"/>
    </row>
    <row r="16" spans="1:20" ht="45">
      <c r="A16" s="88" t="s">
        <v>12</v>
      </c>
      <c r="B16" s="86"/>
      <c r="C16" s="6" t="s">
        <v>19</v>
      </c>
      <c r="D16" s="116">
        <v>0.1455</v>
      </c>
      <c r="E16" s="116"/>
      <c r="F16" s="116">
        <v>0.08</v>
      </c>
      <c r="G16" s="116">
        <f>+F16*0.075</f>
        <v>0.006</v>
      </c>
      <c r="H16" s="116">
        <v>1.005</v>
      </c>
      <c r="I16" s="116">
        <f>+H16*0.075</f>
        <v>0.07537499999999998</v>
      </c>
      <c r="J16" s="116">
        <f>+'1) costi totali + UE'!J16</f>
        <v>0.697651</v>
      </c>
      <c r="K16" s="116">
        <v>0.05246334</v>
      </c>
      <c r="L16" s="117">
        <f>+'1) costi totali + UE'!L16</f>
        <v>0.716667</v>
      </c>
      <c r="M16" s="117">
        <v>0.053156</v>
      </c>
      <c r="N16" s="117">
        <f>+'1) costi totali + UE'!N16</f>
        <v>0.716667</v>
      </c>
      <c r="O16" s="117">
        <v>0.053419</v>
      </c>
      <c r="P16" s="117">
        <f>+'1) costi totali + UE'!P16</f>
        <v>0.9385149999999999</v>
      </c>
      <c r="Q16" s="117">
        <f>0.082275+0.001312</f>
        <v>0.083587</v>
      </c>
      <c r="R16" s="117">
        <f>SUM(P16+N16+L16+J16+H16+F16+D16)</f>
        <v>4.300000000000001</v>
      </c>
      <c r="S16" s="117">
        <f t="shared" si="2"/>
        <v>0.32400034</v>
      </c>
      <c r="T16" s="52"/>
    </row>
    <row r="17" spans="1:20" ht="67.5">
      <c r="A17" s="88" t="s">
        <v>13</v>
      </c>
      <c r="B17" s="86"/>
      <c r="C17" s="6" t="s">
        <v>20</v>
      </c>
      <c r="D17" s="116"/>
      <c r="E17" s="116"/>
      <c r="F17" s="116">
        <v>0.045</v>
      </c>
      <c r="G17" s="116">
        <v>0.007</v>
      </c>
      <c r="H17" s="116">
        <v>0.07</v>
      </c>
      <c r="I17" s="116">
        <f>+H17*0.165</f>
        <v>0.011550000000000001</v>
      </c>
      <c r="J17" s="116">
        <f>+'1) costi totali + UE'!J17</f>
        <v>0.05379028</v>
      </c>
      <c r="K17" s="116">
        <v>0.00887754</v>
      </c>
      <c r="L17" s="117">
        <f>+'1) costi totali + UE'!L17</f>
        <v>0.183333</v>
      </c>
      <c r="M17" s="117">
        <v>0.03025</v>
      </c>
      <c r="N17" s="117">
        <f>+'1) costi totali + UE'!N17</f>
        <v>0.183333</v>
      </c>
      <c r="O17" s="117">
        <v>0.030175</v>
      </c>
      <c r="P17" s="117">
        <f>+'1) costi totali + UE'!P17</f>
        <v>0.564544</v>
      </c>
      <c r="Q17" s="117">
        <f>0.07083+0.011055+0.010262</f>
        <v>0.092147</v>
      </c>
      <c r="R17" s="117">
        <f>SUM(P17+N17+L17+J17+H17+F17)</f>
        <v>1.10000028</v>
      </c>
      <c r="S17" s="117">
        <f t="shared" si="2"/>
        <v>0.17999954</v>
      </c>
      <c r="T17" s="52"/>
    </row>
    <row r="18" spans="1:19" ht="33.75">
      <c r="A18" s="88"/>
      <c r="B18" s="86" t="s">
        <v>61</v>
      </c>
      <c r="C18" s="6" t="s">
        <v>7</v>
      </c>
      <c r="D18" s="116">
        <v>0.019107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f>+'1) costi totali + UE'!J18</f>
        <v>0</v>
      </c>
      <c r="K18" s="116">
        <v>0</v>
      </c>
      <c r="L18" s="117">
        <f>+'1) costi totali + UE'!L18</f>
        <v>0</v>
      </c>
      <c r="M18" s="117">
        <v>0</v>
      </c>
      <c r="N18" s="117">
        <f>+'1) costi totali + UE'!N18</f>
        <v>0</v>
      </c>
      <c r="O18" s="117">
        <v>0</v>
      </c>
      <c r="P18" s="117">
        <f>+'1) costi totali + UE'!P18</f>
        <v>0</v>
      </c>
      <c r="Q18" s="117">
        <v>0</v>
      </c>
      <c r="R18" s="117">
        <f aca="true" t="shared" si="4" ref="R18:S23">+P18+N18+L18+J18+H18+F18+D18</f>
        <v>0.019107</v>
      </c>
      <c r="S18" s="117">
        <f t="shared" si="4"/>
        <v>0</v>
      </c>
    </row>
    <row r="19" spans="1:20" ht="33.75">
      <c r="A19" s="88">
        <v>6</v>
      </c>
      <c r="B19" s="86" t="s">
        <v>66</v>
      </c>
      <c r="C19" s="6" t="s">
        <v>25</v>
      </c>
      <c r="D19" s="116">
        <v>0.160714</v>
      </c>
      <c r="E19" s="116">
        <v>0</v>
      </c>
      <c r="F19" s="116">
        <v>13.915579933333333</v>
      </c>
      <c r="G19" s="116">
        <v>1.0436689</v>
      </c>
      <c r="H19" s="116">
        <v>14.258</v>
      </c>
      <c r="I19" s="116">
        <v>1.069377</v>
      </c>
      <c r="J19" s="116">
        <f>+'1) costi totali + UE'!J19</f>
        <v>22.348246666666668</v>
      </c>
      <c r="K19" s="116">
        <f>+J19*0.075</f>
        <v>1.6761185</v>
      </c>
      <c r="L19" s="117">
        <f>+'1) costi totali + UE'!L19</f>
        <v>10.1</v>
      </c>
      <c r="M19" s="117">
        <v>0.7575</v>
      </c>
      <c r="N19" s="117">
        <f>+'1) costi totali + UE'!N19</f>
        <v>7.383793</v>
      </c>
      <c r="O19" s="117">
        <v>0.565336</v>
      </c>
      <c r="P19" s="117">
        <f>+'1) costi totali + UE'!P19</f>
        <v>0</v>
      </c>
      <c r="Q19" s="117">
        <v>0</v>
      </c>
      <c r="R19" s="117">
        <f t="shared" si="4"/>
        <v>68.1663336</v>
      </c>
      <c r="S19" s="117">
        <f t="shared" si="4"/>
        <v>5.1120004</v>
      </c>
      <c r="T19" s="52"/>
    </row>
    <row r="20" spans="1:20" ht="33.75">
      <c r="A20" s="88">
        <v>7</v>
      </c>
      <c r="B20" s="86" t="s">
        <v>67</v>
      </c>
      <c r="C20" s="6" t="s">
        <v>26</v>
      </c>
      <c r="D20" s="116">
        <v>0.004464</v>
      </c>
      <c r="E20" s="116">
        <v>0</v>
      </c>
      <c r="F20" s="116">
        <v>0</v>
      </c>
      <c r="G20" s="116">
        <v>0</v>
      </c>
      <c r="H20" s="116">
        <v>0</v>
      </c>
      <c r="I20" s="116">
        <f>+H20*0.151</f>
        <v>0</v>
      </c>
      <c r="J20" s="116">
        <f>+'1) costi totali + UE'!J20</f>
        <v>0</v>
      </c>
      <c r="K20" s="116">
        <f>+J20*0.151</f>
        <v>0</v>
      </c>
      <c r="L20" s="117">
        <f>+'1) costi totali + UE'!L20</f>
        <v>0</v>
      </c>
      <c r="M20" s="117">
        <f>+L20*0.151</f>
        <v>0</v>
      </c>
      <c r="N20" s="117">
        <f>+'1) costi totali + UE'!N20</f>
        <v>0</v>
      </c>
      <c r="O20" s="117">
        <f>+N20*0.151</f>
        <v>0</v>
      </c>
      <c r="P20" s="117">
        <f>+'1) costi totali + UE'!P20</f>
        <v>0</v>
      </c>
      <c r="Q20" s="117">
        <v>0</v>
      </c>
      <c r="R20" s="117">
        <f t="shared" si="4"/>
        <v>0.004464</v>
      </c>
      <c r="S20" s="117">
        <f t="shared" si="4"/>
        <v>0</v>
      </c>
      <c r="T20" s="52"/>
    </row>
    <row r="21" spans="1:19" ht="12.75">
      <c r="A21" s="88">
        <v>8</v>
      </c>
      <c r="B21" s="86" t="s">
        <v>62</v>
      </c>
      <c r="C21" s="6" t="s">
        <v>27</v>
      </c>
      <c r="D21" s="116">
        <v>0.006696</v>
      </c>
      <c r="E21" s="116">
        <v>0</v>
      </c>
      <c r="F21" s="116">
        <v>0.075</v>
      </c>
      <c r="G21" s="116">
        <v>0.01124971</v>
      </c>
      <c r="H21" s="116">
        <v>0.135</v>
      </c>
      <c r="I21" s="116">
        <f>+H21*0.15</f>
        <v>0.02025</v>
      </c>
      <c r="J21" s="116">
        <f>+'1) costi totali + UE'!J21</f>
        <v>0.135</v>
      </c>
      <c r="K21" s="116">
        <v>0.02025</v>
      </c>
      <c r="L21" s="117">
        <f>+'1) costi totali + UE'!L21</f>
        <v>0.135</v>
      </c>
      <c r="M21" s="117">
        <v>0.02025</v>
      </c>
      <c r="N21" s="117">
        <f>+'1) costi totali + UE'!N21</f>
        <v>0.1355</v>
      </c>
      <c r="O21" s="117">
        <v>0.02025</v>
      </c>
      <c r="P21" s="117">
        <f>+'1) costi totali + UE'!P21</f>
        <v>0.127804</v>
      </c>
      <c r="Q21" s="117">
        <v>0.02075</v>
      </c>
      <c r="R21" s="117">
        <f t="shared" si="4"/>
        <v>0.75</v>
      </c>
      <c r="S21" s="117">
        <f t="shared" si="4"/>
        <v>0.11299971</v>
      </c>
    </row>
    <row r="22" spans="1:19" ht="45">
      <c r="A22" s="88">
        <v>9</v>
      </c>
      <c r="B22" s="86" t="s">
        <v>63</v>
      </c>
      <c r="C22" s="6" t="s">
        <v>28</v>
      </c>
      <c r="D22" s="116">
        <v>0.005357</v>
      </c>
      <c r="E22" s="116">
        <v>0</v>
      </c>
      <c r="F22" s="116">
        <v>0</v>
      </c>
      <c r="G22" s="116">
        <v>0</v>
      </c>
      <c r="H22" s="116">
        <v>0</v>
      </c>
      <c r="I22" s="116">
        <f>+H22*0.095</f>
        <v>0</v>
      </c>
      <c r="J22" s="116">
        <f>+'1) costi totali + UE'!J22</f>
        <v>0</v>
      </c>
      <c r="K22" s="116">
        <f>+J22*0.095</f>
        <v>0</v>
      </c>
      <c r="L22" s="117">
        <f>+'1) costi totali + UE'!L22</f>
        <v>0</v>
      </c>
      <c r="M22" s="117">
        <f>+L22*0.095</f>
        <v>0</v>
      </c>
      <c r="N22" s="117">
        <f>+'1) costi totali + UE'!N22</f>
        <v>0.524643</v>
      </c>
      <c r="O22" s="117">
        <f>0.01596+0.03404</f>
        <v>0.05</v>
      </c>
      <c r="P22" s="117">
        <f>+'1) costi totali + UE'!P22</f>
        <v>0</v>
      </c>
      <c r="Q22" s="117">
        <f>0.03404-0.03404</f>
        <v>0</v>
      </c>
      <c r="R22" s="117">
        <f t="shared" si="4"/>
        <v>0.5299999999999999</v>
      </c>
      <c r="S22" s="117">
        <f t="shared" si="4"/>
        <v>0.05</v>
      </c>
    </row>
    <row r="23" spans="1:19" ht="22.5">
      <c r="A23" s="88">
        <v>10</v>
      </c>
      <c r="B23" s="86" t="s">
        <v>68</v>
      </c>
      <c r="C23" s="6" t="s">
        <v>29</v>
      </c>
      <c r="D23" s="116">
        <v>0.005357</v>
      </c>
      <c r="E23" s="116">
        <v>0</v>
      </c>
      <c r="F23" s="116">
        <v>0</v>
      </c>
      <c r="G23" s="116">
        <v>0</v>
      </c>
      <c r="H23" s="116">
        <v>0</v>
      </c>
      <c r="I23" s="116">
        <f>+H23*0.151</f>
        <v>0</v>
      </c>
      <c r="J23" s="116">
        <f>+'1) costi totali + UE'!J23</f>
        <v>0</v>
      </c>
      <c r="K23" s="116">
        <f>+J23*0.151</f>
        <v>0</v>
      </c>
      <c r="L23" s="117">
        <f>+'1) costi totali + UE'!L23</f>
        <v>0</v>
      </c>
      <c r="M23" s="117">
        <f>+L23*0.151</f>
        <v>0</v>
      </c>
      <c r="N23" s="117">
        <f>+'1) costi totali + UE'!N23</f>
        <v>0</v>
      </c>
      <c r="O23" s="117">
        <f>+N23*0.151</f>
        <v>0</v>
      </c>
      <c r="P23" s="117">
        <f>+'1) costi totali + UE'!P23</f>
        <v>0</v>
      </c>
      <c r="Q23" s="117">
        <v>0</v>
      </c>
      <c r="R23" s="117">
        <f t="shared" si="4"/>
        <v>0.005357</v>
      </c>
      <c r="S23" s="117">
        <f t="shared" si="4"/>
        <v>0</v>
      </c>
    </row>
    <row r="24" spans="1:20" ht="33.75">
      <c r="A24" s="88">
        <v>11</v>
      </c>
      <c r="B24" s="86" t="s">
        <v>69</v>
      </c>
      <c r="C24" s="6" t="s">
        <v>30</v>
      </c>
      <c r="D24" s="116">
        <v>0.064286</v>
      </c>
      <c r="E24" s="116">
        <v>0</v>
      </c>
      <c r="F24" s="116">
        <v>0</v>
      </c>
      <c r="G24" s="116">
        <f>+F24*0.151</f>
        <v>0</v>
      </c>
      <c r="H24" s="116">
        <v>0.998</v>
      </c>
      <c r="I24" s="116">
        <v>0.1506792</v>
      </c>
      <c r="J24" s="116">
        <f>+'1) costi totali + UE'!J24</f>
        <v>2.30450835</v>
      </c>
      <c r="K24" s="116">
        <v>0.34807294</v>
      </c>
      <c r="L24" s="117">
        <f>+'1) costi totali + UE'!L24</f>
        <v>2.491</v>
      </c>
      <c r="M24" s="117">
        <v>0.376141</v>
      </c>
      <c r="N24" s="117">
        <f>+'1) costi totali + UE'!N24</f>
        <v>3.6843510000000004</v>
      </c>
      <c r="O24" s="117">
        <f>0.353656+0.202681</f>
        <v>0.5563370000000001</v>
      </c>
      <c r="P24" s="117">
        <f>+'1) costi totali + UE'!P24</f>
        <v>2.6082330000000007</v>
      </c>
      <c r="Q24" s="117">
        <f>0.578855-0.134145+0.26527-0.101417-0.202681-0.001791</f>
        <v>0.4040910000000001</v>
      </c>
      <c r="R24" s="117">
        <f>+P24+N24+L24+J24+H24+F24+D24</f>
        <v>12.150378349999999</v>
      </c>
      <c r="S24" s="117">
        <f>+Q24+O24+M24+K24+I24+G24+E24+0.000679</f>
        <v>1.8360001400000001</v>
      </c>
      <c r="T24" s="52"/>
    </row>
    <row r="25" spans="1:20" ht="22.5">
      <c r="A25" s="88">
        <v>12</v>
      </c>
      <c r="B25" s="86" t="s">
        <v>70</v>
      </c>
      <c r="C25" s="6" t="s">
        <v>31</v>
      </c>
      <c r="D25" s="116">
        <v>0.108179</v>
      </c>
      <c r="E25" s="116">
        <v>0</v>
      </c>
      <c r="F25" s="116">
        <v>2.76</v>
      </c>
      <c r="G25" s="116">
        <v>0.41704397</v>
      </c>
      <c r="H25" s="116">
        <v>1.791</v>
      </c>
      <c r="I25" s="116">
        <v>0.24904163</v>
      </c>
      <c r="J25" s="116">
        <f>+'1) costi totali + UE'!J25</f>
        <v>3.333611</v>
      </c>
      <c r="K25" s="116">
        <v>0.4965297</v>
      </c>
      <c r="L25" s="117">
        <f>+'1) costi totali + UE'!L25</f>
        <v>3.343</v>
      </c>
      <c r="M25" s="117">
        <v>0.397817</v>
      </c>
      <c r="N25" s="117">
        <f>+'1) costi totali + UE'!N25</f>
        <v>5.854076999999999</v>
      </c>
      <c r="O25" s="117">
        <f>0.492303+0.204332</f>
        <v>0.696635</v>
      </c>
      <c r="P25" s="117">
        <f>+'1) costi totali + UE'!P25</f>
        <v>6.209163</v>
      </c>
      <c r="Q25" s="117">
        <f>0.830453-0.164461+0.065273-0.204332</f>
        <v>0.5269330000000001</v>
      </c>
      <c r="R25" s="117">
        <f>+P25+N25+L25+J25+H25+F25+D25</f>
        <v>23.399030000000003</v>
      </c>
      <c r="S25" s="117">
        <f>+Q25+O25+M25+K25+I25+G25+E25</f>
        <v>2.7840002999999998</v>
      </c>
      <c r="T25" s="52"/>
    </row>
    <row r="26" spans="1:20" s="4" customFormat="1" ht="12.75">
      <c r="A26" s="88">
        <v>13</v>
      </c>
      <c r="B26" s="86" t="s">
        <v>64</v>
      </c>
      <c r="C26" s="6" t="s">
        <v>32</v>
      </c>
      <c r="D26" s="118">
        <v>1.12625</v>
      </c>
      <c r="E26" s="116">
        <v>0</v>
      </c>
      <c r="F26" s="116">
        <f>11.3217522</f>
        <v>11.3217522</v>
      </c>
      <c r="G26" s="116">
        <v>0</v>
      </c>
      <c r="H26" s="116">
        <v>16.95335428</v>
      </c>
      <c r="I26" s="116">
        <v>0</v>
      </c>
      <c r="J26" s="116">
        <f>+'1) costi totali + UE'!J26</f>
        <v>16.1281301</v>
      </c>
      <c r="K26" s="116">
        <v>0</v>
      </c>
      <c r="L26" s="117">
        <f>+'1) costi totali + UE'!L26</f>
        <v>15.758418</v>
      </c>
      <c r="M26" s="117">
        <v>0</v>
      </c>
      <c r="N26" s="117">
        <f>+'1) costi totali + UE'!N26</f>
        <v>15.484</v>
      </c>
      <c r="O26" s="117">
        <v>0</v>
      </c>
      <c r="P26" s="117">
        <f>+'1) costi totali + UE'!P26</f>
        <v>14.403598999999998</v>
      </c>
      <c r="Q26" s="117">
        <v>0</v>
      </c>
      <c r="R26" s="117">
        <f>P26+N26+L26+J26+H26+F26+D26</f>
        <v>91.17550358000001</v>
      </c>
      <c r="S26" s="117">
        <f>Q26+O26+M26+K26+I26+G26+E26</f>
        <v>0</v>
      </c>
      <c r="T26" s="5"/>
    </row>
    <row r="27" spans="1:22" s="4" customFormat="1" ht="12.75">
      <c r="A27" s="88"/>
      <c r="B27" s="86"/>
      <c r="C27" s="6" t="s">
        <v>5</v>
      </c>
      <c r="D27" s="118">
        <v>31.3082581</v>
      </c>
      <c r="E27" s="116">
        <v>0</v>
      </c>
      <c r="F27" s="116">
        <f>2.0217454+0.003332</f>
        <v>2.0250774</v>
      </c>
      <c r="G27" s="116">
        <v>0</v>
      </c>
      <c r="H27" s="116">
        <v>0.75170132</v>
      </c>
      <c r="I27" s="116">
        <v>0</v>
      </c>
      <c r="J27" s="116">
        <f>+'1) costi totali + UE'!J27</f>
        <v>0.87946014</v>
      </c>
      <c r="K27" s="116">
        <v>0</v>
      </c>
      <c r="L27" s="117">
        <f>+'1) costi totali + UE'!L27</f>
        <v>0</v>
      </c>
      <c r="M27" s="117">
        <v>0</v>
      </c>
      <c r="N27" s="117">
        <f>+'1) costi totali + UE'!N27</f>
        <v>0</v>
      </c>
      <c r="O27" s="117">
        <v>0</v>
      </c>
      <c r="P27" s="117">
        <f>+'1) costi totali + UE'!P27</f>
        <v>0</v>
      </c>
      <c r="Q27" s="117">
        <v>0</v>
      </c>
      <c r="R27" s="117">
        <f>P27+N27+L27+J27+H27+F27+D27</f>
        <v>34.96449696</v>
      </c>
      <c r="S27" s="117">
        <f>Q27+O27+M27+K27+I27+G27+E27</f>
        <v>0</v>
      </c>
      <c r="T27" s="5"/>
      <c r="U27" s="5"/>
      <c r="V27" s="5"/>
    </row>
    <row r="28" spans="1:19" ht="33.75">
      <c r="A28" s="88">
        <v>14</v>
      </c>
      <c r="B28" s="86" t="s">
        <v>65</v>
      </c>
      <c r="C28" s="6" t="s">
        <v>33</v>
      </c>
      <c r="D28" s="116">
        <v>0.271072</v>
      </c>
      <c r="E28" s="116">
        <v>0</v>
      </c>
      <c r="F28" s="116">
        <v>3.945877</v>
      </c>
      <c r="G28" s="116">
        <v>0</v>
      </c>
      <c r="H28" s="116">
        <v>6.53143032</v>
      </c>
      <c r="I28" s="116">
        <v>0</v>
      </c>
      <c r="J28" s="116">
        <f>+'1) costi totali + UE'!J28</f>
        <v>7.7910946</v>
      </c>
      <c r="K28" s="116">
        <v>0</v>
      </c>
      <c r="L28" s="117">
        <f>+'1) costi totali + UE'!L28</f>
        <v>6.695582</v>
      </c>
      <c r="M28" s="117">
        <v>0</v>
      </c>
      <c r="N28" s="117">
        <f>+'1) costi totali + UE'!N28</f>
        <v>4.220767</v>
      </c>
      <c r="O28" s="117">
        <v>0</v>
      </c>
      <c r="P28" s="117">
        <f>+'1) costi totali + UE'!P28</f>
        <v>0.862777</v>
      </c>
      <c r="Q28" s="117">
        <v>0</v>
      </c>
      <c r="R28" s="117">
        <f>SUM(D28+F28+H28+J28+L28+N28+P28)</f>
        <v>30.318599920000004</v>
      </c>
      <c r="S28" s="117">
        <f>SUM(E28+G28+I28+K28+M28+O28+Q28)</f>
        <v>0</v>
      </c>
    </row>
    <row r="29" spans="1:19" ht="56.25">
      <c r="A29" s="88" t="s">
        <v>8</v>
      </c>
      <c r="B29" s="86" t="s">
        <v>71</v>
      </c>
      <c r="C29" s="6" t="s">
        <v>34</v>
      </c>
      <c r="D29" s="116">
        <v>0.004357</v>
      </c>
      <c r="E29" s="116">
        <v>0</v>
      </c>
      <c r="F29" s="116">
        <v>0</v>
      </c>
      <c r="G29" s="116">
        <v>0</v>
      </c>
      <c r="H29" s="116">
        <v>0</v>
      </c>
      <c r="I29" s="116">
        <f>+H29*0.095</f>
        <v>0</v>
      </c>
      <c r="J29" s="116">
        <f>+'1) costi totali + UE'!J29</f>
        <v>0</v>
      </c>
      <c r="K29" s="116">
        <f>+J29*0.095</f>
        <v>0</v>
      </c>
      <c r="L29" s="117">
        <f>+'1) costi totali + UE'!L29</f>
        <v>0</v>
      </c>
      <c r="M29" s="117">
        <f>+L29*0.095</f>
        <v>0</v>
      </c>
      <c r="N29" s="117">
        <f>+'1) costi totali + UE'!N29</f>
        <v>0</v>
      </c>
      <c r="O29" s="117">
        <f>+N29*0.095</f>
        <v>0</v>
      </c>
      <c r="P29" s="117">
        <f>+'1) costi totali + UE'!P29</f>
        <v>0</v>
      </c>
      <c r="Q29" s="117">
        <v>0</v>
      </c>
      <c r="R29" s="117">
        <f>+P29+N29+L29+J29+H29+F29+D29</f>
        <v>0.004357</v>
      </c>
      <c r="S29" s="117">
        <f>+Q29+O29+M29+K29+I29+G29+E29</f>
        <v>0</v>
      </c>
    </row>
    <row r="30" spans="1:21" ht="45">
      <c r="A30" s="88" t="s">
        <v>36</v>
      </c>
      <c r="B30" s="86" t="s">
        <v>60</v>
      </c>
      <c r="C30" s="6" t="s">
        <v>35</v>
      </c>
      <c r="D30" s="116">
        <f>SUM(D31:D32)</f>
        <v>0</v>
      </c>
      <c r="E30" s="116">
        <f aca="true" t="shared" si="5" ref="E30:O30">SUM(E31:E32)</f>
        <v>0</v>
      </c>
      <c r="F30" s="116">
        <v>2.9090457499999998</v>
      </c>
      <c r="G30" s="116">
        <f t="shared" si="5"/>
        <v>0.209834</v>
      </c>
      <c r="H30" s="116">
        <f t="shared" si="5"/>
        <v>5.552014</v>
      </c>
      <c r="I30" s="116">
        <f t="shared" si="5"/>
        <v>0.49632600799999993</v>
      </c>
      <c r="J30" s="116">
        <f>+'1) costi totali + UE'!J30</f>
        <v>8.93057134</v>
      </c>
      <c r="K30" s="116">
        <f t="shared" si="5"/>
        <v>0.9656697000000001</v>
      </c>
      <c r="L30" s="117">
        <f>+'1) costi totali + UE'!L30</f>
        <v>5.348</v>
      </c>
      <c r="M30" s="117">
        <f t="shared" si="5"/>
        <v>0.578958</v>
      </c>
      <c r="N30" s="117">
        <f>+'1) costi totali + UE'!N30</f>
        <v>6.462</v>
      </c>
      <c r="O30" s="117">
        <f t="shared" si="5"/>
        <v>0.699797</v>
      </c>
      <c r="P30" s="117">
        <f>+'1) costi totali + UE'!P30</f>
        <v>4.866369000000001</v>
      </c>
      <c r="Q30" s="117">
        <f>SUM(Q31:Q32)</f>
        <v>0.7364153999999999</v>
      </c>
      <c r="R30" s="117">
        <f aca="true" t="shared" si="6" ref="R30:S32">+P30+N30+L30+J30+H30+F30+D30</f>
        <v>34.06800009</v>
      </c>
      <c r="S30" s="117">
        <f>+Q30+O30+M30+K30+I30+G30+E30</f>
        <v>3.687000108</v>
      </c>
      <c r="T30" s="52"/>
      <c r="U30" s="7"/>
    </row>
    <row r="31" spans="1:20" s="4" customFormat="1" ht="45">
      <c r="A31" s="88" t="s">
        <v>9</v>
      </c>
      <c r="B31" s="86"/>
      <c r="C31" s="6" t="s">
        <v>38</v>
      </c>
      <c r="D31" s="116"/>
      <c r="E31" s="116"/>
      <c r="F31" s="116">
        <v>0</v>
      </c>
      <c r="G31" s="116">
        <f>+F31*0.166</f>
        <v>0</v>
      </c>
      <c r="H31" s="116">
        <v>1.011</v>
      </c>
      <c r="I31" s="116">
        <f>+H31*0.167</f>
        <v>0.168837</v>
      </c>
      <c r="J31" s="116">
        <f>+'1) costi totali + UE'!J31</f>
        <v>3.42534584</v>
      </c>
      <c r="K31" s="116">
        <v>0.56929346</v>
      </c>
      <c r="L31" s="117">
        <f>+'1) costi totali + UE'!L31</f>
        <v>2.051606</v>
      </c>
      <c r="M31" s="117">
        <v>0.341618</v>
      </c>
      <c r="N31" s="117">
        <f>+'1) costi totali + UE'!N31</f>
        <v>2.479292</v>
      </c>
      <c r="O31" s="117">
        <v>0.413042</v>
      </c>
      <c r="P31" s="117">
        <f>+'1) costi totali + UE'!P31</f>
        <v>4.1007560000000005</v>
      </c>
      <c r="Q31" s="117">
        <f>0.939029-0.25476-0.002059</f>
        <v>0.68221</v>
      </c>
      <c r="R31" s="117">
        <f t="shared" si="6"/>
        <v>13.06799984</v>
      </c>
      <c r="S31" s="117">
        <f t="shared" si="6"/>
        <v>2.1750004599999997</v>
      </c>
      <c r="T31" s="48"/>
    </row>
    <row r="32" spans="1:20" s="4" customFormat="1" ht="22.5">
      <c r="A32" s="88" t="s">
        <v>10</v>
      </c>
      <c r="B32" s="86"/>
      <c r="C32" s="6" t="s">
        <v>37</v>
      </c>
      <c r="D32" s="116"/>
      <c r="E32" s="116"/>
      <c r="F32" s="116">
        <v>2.9090457499999998</v>
      </c>
      <c r="G32" s="116">
        <v>0.209834</v>
      </c>
      <c r="H32" s="116">
        <v>4.541014</v>
      </c>
      <c r="I32" s="116">
        <f>+H32*0.072+0.000536</f>
        <v>0.3274890079999999</v>
      </c>
      <c r="J32" s="116">
        <f>+'1) costi totali + UE'!J32</f>
        <v>5.5052255</v>
      </c>
      <c r="K32" s="116">
        <v>0.39637624</v>
      </c>
      <c r="L32" s="117">
        <f>+'1) costi totali + UE'!L32</f>
        <v>3.296394</v>
      </c>
      <c r="M32" s="117">
        <v>0.23734</v>
      </c>
      <c r="N32" s="117">
        <f>+'1) costi totali + UE'!N32</f>
        <v>3.982708</v>
      </c>
      <c r="O32" s="117">
        <v>0.286755</v>
      </c>
      <c r="P32" s="117">
        <f>+'1) costi totali + UE'!P32</f>
        <v>0.765613</v>
      </c>
      <c r="Q32" s="117">
        <f>0.23362-0.179714+0.0002994</f>
        <v>0.05420539999999998</v>
      </c>
      <c r="R32" s="117">
        <f t="shared" si="6"/>
        <v>21.00000025</v>
      </c>
      <c r="S32" s="117">
        <f t="shared" si="6"/>
        <v>1.511999648</v>
      </c>
      <c r="T32" s="48"/>
    </row>
    <row r="33" spans="1:19" s="4" customFormat="1" ht="12.75">
      <c r="A33" s="86"/>
      <c r="B33" s="86"/>
      <c r="C33" s="37" t="s">
        <v>53</v>
      </c>
      <c r="D33" s="116"/>
      <c r="E33" s="116"/>
      <c r="F33" s="116"/>
      <c r="G33" s="116"/>
      <c r="H33" s="116"/>
      <c r="I33" s="116"/>
      <c r="J33" s="116"/>
      <c r="K33" s="116"/>
      <c r="L33" s="117"/>
      <c r="M33" s="117"/>
      <c r="N33" s="117"/>
      <c r="O33" s="117"/>
      <c r="P33" s="117"/>
      <c r="Q33" s="117"/>
      <c r="R33" s="117"/>
      <c r="S33" s="117">
        <f>+Q33+O33+M33+K33+I33+G33+E33</f>
        <v>0</v>
      </c>
    </row>
    <row r="34" spans="1:20" s="3" customFormat="1" ht="12.75">
      <c r="A34" s="89"/>
      <c r="B34" s="86"/>
      <c r="C34" s="38" t="s">
        <v>4</v>
      </c>
      <c r="D34" s="116">
        <f>SUM(D33+D30+D29+D28+D27+D26+D25+D24+D23+D22+D21+D20+D19+D18+D15+D12+D11+D10+D9+D8)</f>
        <v>33.42736509999999</v>
      </c>
      <c r="E34" s="116">
        <f>SUM(E30+E29+E28+E27+E26+E25+E24+E23+E22+E21+E20+E19+E18+E15+E12+E11+E10+E9+E8)</f>
        <v>0</v>
      </c>
      <c r="F34" s="116">
        <f>SUM(F30+F29+F28+F27+F26+F25+F24+F23+F22+F21+F20+F19+F18+F15+F12+F11+F10+F9+F8)</f>
        <v>43.73933228333333</v>
      </c>
      <c r="G34" s="116">
        <f>+G32+G31+G29+G28+G27+G26+G25+G24+G23+G22+G21+G20+G19+G18+G17+G16+G14+G13+G11+G10+G9+G8</f>
        <v>2.34244763</v>
      </c>
      <c r="H34" s="116">
        <f>SUM(H30+H29+H28+H27+H26+H25+H24+H23+H22+H21+H20+H19+H18+H15+H12+H11+H10+H9+H8)</f>
        <v>56.62599992</v>
      </c>
      <c r="I34" s="116">
        <f>+I32+I31+I29+I28+I27+I26+I25+I24+I23+I22+I21+I20+I19+I18+I17+I16+I14+I13+I11+I10+I9+I8</f>
        <v>2.961874368</v>
      </c>
      <c r="J34" s="116">
        <f>SUM(J30+J29+J28+J27+J26+J25+J24+J23+J22+J21+J20+J19+J18+J15+J12+J11+J10+J9+J8)</f>
        <v>76.60005099666667</v>
      </c>
      <c r="K34" s="116">
        <f>+K32+K31+K29+K28+K27+K26+K25+K24+K23+K22+K21+K20+K19+K18+K17+K16+K14+K13+K11+K10+K9+K8</f>
        <v>4.889546920000001</v>
      </c>
      <c r="L34" s="119">
        <f aca="true" t="shared" si="7" ref="L34:Q34">SUM(L30+L29+L28+L27+L26+L25+L24+L23+L22+L21+L20+L19+L18+L15+L12+L11+L10+L9+L8)</f>
        <v>52.241767</v>
      </c>
      <c r="M34" s="119">
        <f>SUM(M30+M29+M28+M27+M26+M25+M24+M23+M22+M21+M20+M19+M18+M15+M12+M11+M10+M9+M8)+0.000001</f>
        <v>3.0387820000000003</v>
      </c>
      <c r="N34" s="119">
        <f t="shared" si="7"/>
        <v>59.56130799999999</v>
      </c>
      <c r="O34" s="119">
        <f t="shared" si="7"/>
        <v>4.280336899999999</v>
      </c>
      <c r="P34" s="119">
        <f>SUM(P30+P29+P28+P27+P26+P25+P24+P23+P22+P21+P20+P19+P18+P15+P12+P11+P10+P9+P8)</f>
        <v>44.980286</v>
      </c>
      <c r="Q34" s="119">
        <f t="shared" si="7"/>
        <v>3.2873344000000007</v>
      </c>
      <c r="R34" s="119">
        <f>SUM(D34+F34+H34+J34+L34+N34+P34)</f>
        <v>367.17610929999995</v>
      </c>
      <c r="S34" s="119">
        <f>SUM(E34+G34+I34+K34+M34+O34+Q34)-0.000001+0.0003</f>
        <v>20.800621217999996</v>
      </c>
      <c r="T34" s="4"/>
    </row>
    <row r="35" spans="2:19" ht="12.75">
      <c r="B35" s="1"/>
      <c r="C35" s="43"/>
      <c r="D35" s="13"/>
      <c r="E35" s="13"/>
      <c r="F35" s="11"/>
      <c r="G35" s="21"/>
      <c r="H35" s="11"/>
      <c r="I35" s="11"/>
      <c r="J35" s="11"/>
      <c r="K35" s="50"/>
      <c r="L35" s="11"/>
      <c r="M35" s="50"/>
      <c r="N35" s="11"/>
      <c r="O35" s="50"/>
      <c r="P35" s="11"/>
      <c r="Q35" s="50"/>
      <c r="R35" s="11"/>
      <c r="S35" s="50"/>
    </row>
    <row r="36" spans="2:19" ht="12.75">
      <c r="B36" s="34"/>
      <c r="G36" s="49"/>
      <c r="K36" s="48"/>
      <c r="P36" s="48"/>
      <c r="S36" s="48"/>
    </row>
    <row r="37" spans="2:11" ht="12.75">
      <c r="B37" s="35"/>
      <c r="C37" s="42"/>
      <c r="I37" s="48"/>
      <c r="K37" s="48"/>
    </row>
    <row r="38" ht="12" customHeight="1">
      <c r="B38" s="36"/>
    </row>
    <row r="39" ht="12.75">
      <c r="I39" s="48"/>
    </row>
  </sheetData>
  <mergeCells count="16">
    <mergeCell ref="L6:M6"/>
    <mergeCell ref="N6:O6"/>
    <mergeCell ref="P6:Q6"/>
    <mergeCell ref="R6:S6"/>
    <mergeCell ref="D6:E6"/>
    <mergeCell ref="F6:G6"/>
    <mergeCell ref="H6:I6"/>
    <mergeCell ref="J6:K6"/>
    <mergeCell ref="L5:M5"/>
    <mergeCell ref="N5:O5"/>
    <mergeCell ref="P5:Q5"/>
    <mergeCell ref="R5:S5"/>
    <mergeCell ref="D5:E5"/>
    <mergeCell ref="F5:G5"/>
    <mergeCell ref="H5:I5"/>
    <mergeCell ref="J5:K5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63" r:id="rId1"/>
  <headerFooter alignWithMargins="0">
    <oddHeader>&amp;CPSR 2000-2006</oddHeader>
    <oddFooter>&amp;L&amp;P
&amp;N&amp;C&amp;"Arial Narrow,Normale"&amp;10&amp;F&amp;R&amp;A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tabColor indexed="11"/>
    <pageSetUpPr fitToPage="1"/>
  </sheetPr>
  <dimension ref="A1:AO41"/>
  <sheetViews>
    <sheetView showGridLines="0" showZeros="0" workbookViewId="0" topLeftCell="A5">
      <pane xSplit="3" ySplit="3" topLeftCell="D8" activePane="bottomRight" state="frozen"/>
      <selection pane="topLeft" activeCell="C39" sqref="C39"/>
      <selection pane="topRight" activeCell="C39" sqref="C39"/>
      <selection pane="bottomLeft" activeCell="C39" sqref="C39"/>
      <selection pane="bottomRight" activeCell="C39" sqref="C39"/>
    </sheetView>
  </sheetViews>
  <sheetFormatPr defaultColWidth="11.421875" defaultRowHeight="12"/>
  <cols>
    <col min="1" max="1" width="6.8515625" style="1" customWidth="1"/>
    <col min="2" max="2" width="6.8515625" style="2" customWidth="1"/>
    <col min="3" max="3" width="30.00390625" style="1" customWidth="1"/>
    <col min="4" max="5" width="11.7109375" style="12" customWidth="1"/>
    <col min="6" max="6" width="11.7109375" style="4" customWidth="1"/>
    <col min="7" max="7" width="11.7109375" style="10" customWidth="1"/>
    <col min="8" max="19" width="11.7109375" style="4" customWidth="1"/>
    <col min="20" max="20" width="11.140625" style="4" bestFit="1" customWidth="1"/>
    <col min="21" max="41" width="9.140625" style="4" customWidth="1"/>
    <col min="42" max="16384" width="9.140625" style="1" customWidth="1"/>
  </cols>
  <sheetData>
    <row r="1" spans="1:2" ht="12.75">
      <c r="A1" s="3" t="s">
        <v>46</v>
      </c>
      <c r="B1" s="23"/>
    </row>
    <row r="2" spans="1:2" ht="12.75">
      <c r="A2" s="3"/>
      <c r="B2" s="23"/>
    </row>
    <row r="3" spans="1:10" ht="12.75">
      <c r="A3" s="26" t="s">
        <v>50</v>
      </c>
      <c r="B3" s="33"/>
      <c r="J3" s="48"/>
    </row>
    <row r="5" spans="1:41" s="23" customFormat="1" ht="12.75">
      <c r="A5" s="83"/>
      <c r="B5" s="77"/>
      <c r="C5" s="78"/>
      <c r="D5" s="145" t="s">
        <v>6</v>
      </c>
      <c r="E5" s="145"/>
      <c r="F5" s="146" t="s">
        <v>6</v>
      </c>
      <c r="G5" s="145"/>
      <c r="H5" s="146" t="s">
        <v>6</v>
      </c>
      <c r="I5" s="145"/>
      <c r="J5" s="146" t="s">
        <v>6</v>
      </c>
      <c r="K5" s="145"/>
      <c r="L5" s="147" t="s">
        <v>6</v>
      </c>
      <c r="M5" s="148"/>
      <c r="N5" s="147" t="s">
        <v>6</v>
      </c>
      <c r="O5" s="148"/>
      <c r="P5" s="147" t="s">
        <v>6</v>
      </c>
      <c r="Q5" s="149"/>
      <c r="R5" s="148" t="s">
        <v>1</v>
      </c>
      <c r="S5" s="149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</row>
    <row r="6" spans="1:41" s="2" customFormat="1" ht="12.75">
      <c r="A6" s="79" t="s">
        <v>73</v>
      </c>
      <c r="B6" s="79" t="s">
        <v>75</v>
      </c>
      <c r="C6" s="80" t="s">
        <v>0</v>
      </c>
      <c r="D6" s="150">
        <v>2000</v>
      </c>
      <c r="E6" s="150"/>
      <c r="F6" s="151">
        <v>2001</v>
      </c>
      <c r="G6" s="152"/>
      <c r="H6" s="150">
        <v>2002</v>
      </c>
      <c r="I6" s="150"/>
      <c r="J6" s="151">
        <v>2003</v>
      </c>
      <c r="K6" s="152"/>
      <c r="L6" s="153">
        <v>2004</v>
      </c>
      <c r="M6" s="153"/>
      <c r="N6" s="154">
        <v>2005</v>
      </c>
      <c r="O6" s="155"/>
      <c r="P6" s="154">
        <v>2006</v>
      </c>
      <c r="Q6" s="155"/>
      <c r="R6" s="153"/>
      <c r="S6" s="155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19" ht="25.5">
      <c r="A7" s="81" t="s">
        <v>74</v>
      </c>
      <c r="B7" s="81" t="s">
        <v>76</v>
      </c>
      <c r="C7" s="82"/>
      <c r="D7" s="14" t="s">
        <v>2</v>
      </c>
      <c r="E7" s="14" t="s">
        <v>43</v>
      </c>
      <c r="F7" s="14" t="s">
        <v>2</v>
      </c>
      <c r="G7" s="14" t="s">
        <v>43</v>
      </c>
      <c r="H7" s="14" t="s">
        <v>2</v>
      </c>
      <c r="I7" s="14" t="s">
        <v>43</v>
      </c>
      <c r="J7" s="14" t="s">
        <v>2</v>
      </c>
      <c r="K7" s="14" t="s">
        <v>43</v>
      </c>
      <c r="L7" s="85" t="s">
        <v>2</v>
      </c>
      <c r="M7" s="85" t="s">
        <v>43</v>
      </c>
      <c r="N7" s="85" t="s">
        <v>2</v>
      </c>
      <c r="O7" s="85" t="s">
        <v>43</v>
      </c>
      <c r="P7" s="85" t="s">
        <v>2</v>
      </c>
      <c r="Q7" s="85" t="s">
        <v>43</v>
      </c>
      <c r="R7" s="85" t="s">
        <v>2</v>
      </c>
      <c r="S7" s="85" t="s">
        <v>43</v>
      </c>
    </row>
    <row r="8" spans="1:20" s="4" customFormat="1" ht="22.5">
      <c r="A8" s="86">
        <v>1</v>
      </c>
      <c r="B8" s="86" t="s">
        <v>56</v>
      </c>
      <c r="C8" s="6" t="s">
        <v>14</v>
      </c>
      <c r="D8" s="116">
        <v>0.117857</v>
      </c>
      <c r="E8" s="116">
        <v>0</v>
      </c>
      <c r="F8" s="116">
        <f>4.366-0.057</f>
        <v>4.308999999999999</v>
      </c>
      <c r="G8" s="116">
        <f>0.9492482</f>
        <v>0.9492482</v>
      </c>
      <c r="H8" s="116">
        <v>5.923</v>
      </c>
      <c r="I8" s="116">
        <v>1.29286565</v>
      </c>
      <c r="J8" s="116">
        <f>+'1) costi totali + UE'!J8</f>
        <v>9.82793762</v>
      </c>
      <c r="K8" s="116">
        <v>1.971333</v>
      </c>
      <c r="L8" s="117">
        <f>+'1) costi totali + UE'!L8</f>
        <v>2.903767</v>
      </c>
      <c r="M8" s="117">
        <v>0.609791</v>
      </c>
      <c r="N8" s="117">
        <f>+'1) costi totali + UE'!N8</f>
        <v>6.333427</v>
      </c>
      <c r="O8" s="117">
        <v>1.330019</v>
      </c>
      <c r="P8" s="117">
        <f>+'1) costi totali + UE'!P8</f>
        <v>8.785345</v>
      </c>
      <c r="Q8" s="117">
        <v>1.868743</v>
      </c>
      <c r="R8" s="117">
        <f aca="true" t="shared" si="0" ref="R8:S11">+P8+N8+L8+J8+H8+F8+D8</f>
        <v>38.20033362</v>
      </c>
      <c r="S8" s="117">
        <f t="shared" si="0"/>
        <v>8.02199985</v>
      </c>
      <c r="T8" s="48"/>
    </row>
    <row r="9" spans="1:20" ht="12.75">
      <c r="A9" s="86">
        <v>2</v>
      </c>
      <c r="B9" s="86" t="s">
        <v>57</v>
      </c>
      <c r="C9" s="6" t="s">
        <v>15</v>
      </c>
      <c r="D9" s="116">
        <v>0.03125</v>
      </c>
      <c r="E9" s="116">
        <v>0</v>
      </c>
      <c r="F9" s="116">
        <v>0.575</v>
      </c>
      <c r="G9" s="116">
        <v>0.20124998</v>
      </c>
      <c r="H9" s="116">
        <v>1.4975</v>
      </c>
      <c r="I9" s="116">
        <v>0.524125</v>
      </c>
      <c r="J9" s="116">
        <f>+'1) costi totali + UE'!J9</f>
        <v>1.1025</v>
      </c>
      <c r="K9" s="116">
        <f>+J9*0.35</f>
        <v>0.38587499999999997</v>
      </c>
      <c r="L9" s="117">
        <f>+'1) costi totali + UE'!L9</f>
        <v>1.414</v>
      </c>
      <c r="M9" s="117">
        <f>+L9*0.35</f>
        <v>0.49489999999999995</v>
      </c>
      <c r="N9" s="117">
        <f>+'1) costi totali + UE'!N9</f>
        <v>1.2317500000000001</v>
      </c>
      <c r="O9" s="117">
        <f>+N9*0.35+0.010738</f>
        <v>0.44185050000000003</v>
      </c>
      <c r="P9" s="117">
        <f>+'1) costi totali + UE'!P9</f>
        <v>0</v>
      </c>
      <c r="Q9" s="117">
        <f>+P9*0.35</f>
        <v>0</v>
      </c>
      <c r="R9" s="117">
        <f t="shared" si="0"/>
        <v>5.852</v>
      </c>
      <c r="S9" s="117">
        <f>+Q9+O9+M9+K9+I9+G9+E9</f>
        <v>2.04800048</v>
      </c>
      <c r="T9" s="48"/>
    </row>
    <row r="10" spans="1:19" ht="12.75">
      <c r="A10" s="86">
        <v>3</v>
      </c>
      <c r="B10" s="86" t="s">
        <v>58</v>
      </c>
      <c r="C10" s="6" t="s">
        <v>16</v>
      </c>
      <c r="D10" s="116">
        <v>0.006696</v>
      </c>
      <c r="E10" s="116">
        <v>0</v>
      </c>
      <c r="F10" s="116">
        <v>0</v>
      </c>
      <c r="G10" s="116">
        <v>0</v>
      </c>
      <c r="H10" s="116">
        <v>0</v>
      </c>
      <c r="I10" s="116">
        <f>+H10*0.5</f>
        <v>0</v>
      </c>
      <c r="J10" s="116">
        <f>+'1) costi totali + UE'!J10</f>
        <v>0</v>
      </c>
      <c r="K10" s="116">
        <f>+J10*0.5</f>
        <v>0</v>
      </c>
      <c r="L10" s="117">
        <f>+'1) costi totali + UE'!L10</f>
        <v>0</v>
      </c>
      <c r="M10" s="117">
        <f>+L10*0.5</f>
        <v>0</v>
      </c>
      <c r="N10" s="117">
        <f>+'1) costi totali + UE'!N10</f>
        <v>0</v>
      </c>
      <c r="O10" s="117">
        <f>+N10*0.5</f>
        <v>0</v>
      </c>
      <c r="P10" s="117">
        <f>+'1) costi totali + UE'!P10</f>
        <v>0</v>
      </c>
      <c r="Q10" s="117">
        <v>0</v>
      </c>
      <c r="R10" s="117">
        <f t="shared" si="0"/>
        <v>0.006696</v>
      </c>
      <c r="S10" s="117">
        <f t="shared" si="0"/>
        <v>0</v>
      </c>
    </row>
    <row r="11" spans="1:19" ht="12.75">
      <c r="A11" s="86">
        <v>4</v>
      </c>
      <c r="B11" s="86" t="s">
        <v>59</v>
      </c>
      <c r="C11" s="6" t="s">
        <v>17</v>
      </c>
      <c r="D11" s="116">
        <v>0.001786</v>
      </c>
      <c r="E11" s="116">
        <v>0</v>
      </c>
      <c r="F11" s="116">
        <v>0</v>
      </c>
      <c r="G11" s="116">
        <f>+F11*0.375</f>
        <v>0</v>
      </c>
      <c r="H11" s="116">
        <v>0</v>
      </c>
      <c r="I11" s="116">
        <f>+H11*0.375</f>
        <v>0</v>
      </c>
      <c r="J11" s="116">
        <f>+'1) costi totali + UE'!J11</f>
        <v>0</v>
      </c>
      <c r="K11" s="116">
        <f>+J11*0.375</f>
        <v>0</v>
      </c>
      <c r="L11" s="117">
        <f>+'1) costi totali + UE'!L11</f>
        <v>0</v>
      </c>
      <c r="M11" s="117">
        <f>+L11*0.375</f>
        <v>0</v>
      </c>
      <c r="N11" s="117">
        <f>+'1) costi totali + UE'!N11</f>
        <v>0</v>
      </c>
      <c r="O11" s="117">
        <f>+N11*0.375</f>
        <v>0</v>
      </c>
      <c r="P11" s="117">
        <f>+'1) costi totali + UE'!P11</f>
        <v>0</v>
      </c>
      <c r="Q11" s="117">
        <v>0</v>
      </c>
      <c r="R11" s="117">
        <f t="shared" si="0"/>
        <v>0.001786</v>
      </c>
      <c r="S11" s="117">
        <f t="shared" si="0"/>
        <v>0</v>
      </c>
    </row>
    <row r="12" spans="1:20" s="4" customFormat="1" ht="45">
      <c r="A12" s="86" t="s">
        <v>21</v>
      </c>
      <c r="B12" s="86" t="s">
        <v>72</v>
      </c>
      <c r="C12" s="6" t="s">
        <v>39</v>
      </c>
      <c r="D12" s="116">
        <v>0.040179</v>
      </c>
      <c r="E12" s="116">
        <v>0</v>
      </c>
      <c r="F12" s="116">
        <f>SUM(F13:F14)</f>
        <v>1.778</v>
      </c>
      <c r="G12" s="116">
        <f aca="true" t="shared" si="1" ref="G12:O12">SUM(G13:G14)</f>
        <v>0.36078115</v>
      </c>
      <c r="H12" s="116">
        <f t="shared" si="1"/>
        <v>1.16</v>
      </c>
      <c r="I12" s="116">
        <f t="shared" si="1"/>
        <v>0.258089</v>
      </c>
      <c r="J12" s="116">
        <f>+'1) costi totali + UE'!J12</f>
        <v>3.0675499</v>
      </c>
      <c r="K12" s="116">
        <f t="shared" si="1"/>
        <v>0.72657954</v>
      </c>
      <c r="L12" s="117">
        <f>+'1) costi totali + UE'!L12</f>
        <v>3.153</v>
      </c>
      <c r="M12" s="117">
        <f t="shared" si="1"/>
        <v>0.81963</v>
      </c>
      <c r="N12" s="117">
        <f>+'1) costi totali + UE'!N12</f>
        <v>7.347</v>
      </c>
      <c r="O12" s="117">
        <f t="shared" si="1"/>
        <v>1.98037</v>
      </c>
      <c r="P12" s="117">
        <f>+'1) costi totali + UE'!P12</f>
        <v>5.613937</v>
      </c>
      <c r="Q12" s="117">
        <f>SUM(Q13:Q14)</f>
        <v>1.45355</v>
      </c>
      <c r="R12" s="117">
        <f>SUM(P12+N12+L12+J12+H12+F12+D12)</f>
        <v>22.159665899999997</v>
      </c>
      <c r="S12" s="117">
        <f aca="true" t="shared" si="2" ref="S12:S17">SUM(Q12+O12+M12+K12+I12+G12)</f>
        <v>5.59899969</v>
      </c>
      <c r="T12" s="48"/>
    </row>
    <row r="13" spans="1:20" s="4" customFormat="1" ht="16.5" customHeight="1">
      <c r="A13" s="86" t="s">
        <v>22</v>
      </c>
      <c r="B13" s="86"/>
      <c r="C13" s="6" t="s">
        <v>24</v>
      </c>
      <c r="D13" s="116">
        <v>0.040179</v>
      </c>
      <c r="E13" s="116"/>
      <c r="F13" s="116">
        <v>1.778</v>
      </c>
      <c r="G13" s="116">
        <v>0.36078115</v>
      </c>
      <c r="H13" s="116">
        <v>1.115</v>
      </c>
      <c r="I13" s="116">
        <v>0.240764</v>
      </c>
      <c r="J13" s="116">
        <f>+'1) costi totali + UE'!J13</f>
        <v>2.71051034</v>
      </c>
      <c r="K13" s="116">
        <v>0.5891336</v>
      </c>
      <c r="L13" s="117">
        <f>+'1) costi totali + UE'!L13</f>
        <v>2.253</v>
      </c>
      <c r="M13" s="117">
        <v>0.47313</v>
      </c>
      <c r="N13" s="117">
        <f>+'1) costi totali + UE'!N13</f>
        <v>4.847</v>
      </c>
      <c r="O13" s="117">
        <v>1.01787</v>
      </c>
      <c r="P13" s="117">
        <f>+'1) costi totali + UE'!P13</f>
        <v>4.015977</v>
      </c>
      <c r="Q13" s="117">
        <v>0.838321</v>
      </c>
      <c r="R13" s="117">
        <f>SUM(P13+N13+L13+J13+H13+F13+D13)</f>
        <v>16.75966634</v>
      </c>
      <c r="S13" s="117">
        <f t="shared" si="2"/>
        <v>3.5199997499999993</v>
      </c>
      <c r="T13" s="48"/>
    </row>
    <row r="14" spans="1:20" s="4" customFormat="1" ht="33.75">
      <c r="A14" s="86" t="s">
        <v>23</v>
      </c>
      <c r="B14" s="86"/>
      <c r="C14" s="6" t="s">
        <v>40</v>
      </c>
      <c r="D14" s="116"/>
      <c r="E14" s="116"/>
      <c r="F14" s="116">
        <v>0</v>
      </c>
      <c r="G14" s="116">
        <v>0</v>
      </c>
      <c r="H14" s="116">
        <v>0.045</v>
      </c>
      <c r="I14" s="116">
        <f>+H14*0.385</f>
        <v>0.017325</v>
      </c>
      <c r="J14" s="116">
        <f>+'1) costi totali + UE'!J14</f>
        <v>0.35703956</v>
      </c>
      <c r="K14" s="116">
        <v>0.13744594</v>
      </c>
      <c r="L14" s="117">
        <f>+'1) costi totali + UE'!L14</f>
        <v>0.9</v>
      </c>
      <c r="M14" s="117">
        <v>0.3465</v>
      </c>
      <c r="N14" s="117">
        <f>+'1) costi totali + UE'!N14</f>
        <v>2.5</v>
      </c>
      <c r="O14" s="117">
        <f>0.3465+0.616</f>
        <v>0.9624999999999999</v>
      </c>
      <c r="P14" s="117">
        <f>+'1) costi totali + UE'!P14</f>
        <v>1.5979599999999996</v>
      </c>
      <c r="Q14" s="117">
        <f>1.022175+0.154+0.05504+0.000014-0.616</f>
        <v>0.6152289999999999</v>
      </c>
      <c r="R14" s="117">
        <f>SUM(P14+N14+L14+J14+H14+F14)</f>
        <v>5.3999995599999995</v>
      </c>
      <c r="S14" s="117">
        <f t="shared" si="2"/>
        <v>2.0789999399999997</v>
      </c>
      <c r="T14" s="48"/>
    </row>
    <row r="15" spans="1:20" ht="45">
      <c r="A15" s="86" t="s">
        <v>11</v>
      </c>
      <c r="B15" s="86" t="s">
        <v>60</v>
      </c>
      <c r="C15" s="6" t="s">
        <v>18</v>
      </c>
      <c r="D15" s="116">
        <v>0.1455</v>
      </c>
      <c r="E15" s="116">
        <v>0</v>
      </c>
      <c r="F15" s="116">
        <f>SUM(F16:F17)</f>
        <v>0.125</v>
      </c>
      <c r="G15" s="116">
        <f aca="true" t="shared" si="3" ref="G15:O15">SUM(G16:G17)</f>
        <v>0.031</v>
      </c>
      <c r="H15" s="116">
        <f t="shared" si="3"/>
        <v>1.075</v>
      </c>
      <c r="I15" s="116">
        <f>SUM(I16:I17)</f>
        <v>0.20299999999999999</v>
      </c>
      <c r="J15" s="116">
        <f>+'1) costi totali + UE'!J15</f>
        <v>0.75144128</v>
      </c>
      <c r="K15" s="116">
        <f t="shared" si="3"/>
        <v>0.14240534999999999</v>
      </c>
      <c r="L15" s="117">
        <f>+'1) costi totali + UE'!L15</f>
        <v>0.9</v>
      </c>
      <c r="M15" s="117">
        <f t="shared" si="3"/>
        <v>0.1942833</v>
      </c>
      <c r="N15" s="117">
        <f>+'1) costi totali + UE'!N15</f>
        <v>0.9</v>
      </c>
      <c r="O15" s="117">
        <f t="shared" si="3"/>
        <v>0.1942833</v>
      </c>
      <c r="P15" s="117">
        <f>+'1) costi totali + UE'!P15</f>
        <v>1.503059</v>
      </c>
      <c r="Q15" s="117">
        <f>SUM(Q16:Q17)+0.001</f>
        <v>0.412028</v>
      </c>
      <c r="R15" s="117">
        <f>SUM(P15+N15+L15+J15+H15+F15+D15)</f>
        <v>5.40000028</v>
      </c>
      <c r="S15" s="117">
        <f t="shared" si="2"/>
        <v>1.17699995</v>
      </c>
      <c r="T15" s="48"/>
    </row>
    <row r="16" spans="1:20" ht="45">
      <c r="A16" s="86" t="s">
        <v>12</v>
      </c>
      <c r="B16" s="86"/>
      <c r="C16" s="6" t="s">
        <v>19</v>
      </c>
      <c r="D16" s="116">
        <v>0.1455</v>
      </c>
      <c r="E16" s="116"/>
      <c r="F16" s="116">
        <v>0.08</v>
      </c>
      <c r="G16" s="116">
        <v>0.014</v>
      </c>
      <c r="H16" s="116">
        <v>1.005</v>
      </c>
      <c r="I16" s="116">
        <v>0.176</v>
      </c>
      <c r="J16" s="116">
        <f>+'1) costi totali + UE'!J16</f>
        <v>0.697651</v>
      </c>
      <c r="K16" s="116">
        <v>0.12169825</v>
      </c>
      <c r="L16" s="117">
        <f>+'1) costi totali + UE'!L16</f>
        <v>0.716667</v>
      </c>
      <c r="M16" s="117">
        <v>0.1237</v>
      </c>
      <c r="N16" s="117">
        <f>+'1) costi totali + UE'!N16</f>
        <v>0.716667</v>
      </c>
      <c r="O16" s="117">
        <v>0.1237</v>
      </c>
      <c r="P16" s="117">
        <f>+'1) costi totali + UE'!P16</f>
        <v>0.9385149999999999</v>
      </c>
      <c r="Q16" s="117">
        <f>0.189842+0.00306</f>
        <v>0.19290200000000002</v>
      </c>
      <c r="R16" s="117">
        <f>SUM(P16+N16+L16+J16+H16+F16+D16)</f>
        <v>4.300000000000001</v>
      </c>
      <c r="S16" s="117">
        <f t="shared" si="2"/>
        <v>0.75200025</v>
      </c>
      <c r="T16" s="48"/>
    </row>
    <row r="17" spans="1:20" ht="67.5">
      <c r="A17" s="86" t="s">
        <v>13</v>
      </c>
      <c r="B17" s="86"/>
      <c r="C17" s="6" t="s">
        <v>20</v>
      </c>
      <c r="D17" s="116"/>
      <c r="E17" s="116"/>
      <c r="F17" s="116">
        <v>0.045</v>
      </c>
      <c r="G17" s="116">
        <v>0.017</v>
      </c>
      <c r="H17" s="116">
        <v>0.07</v>
      </c>
      <c r="I17" s="116">
        <v>0.027</v>
      </c>
      <c r="J17" s="116">
        <f>+'1) costi totali + UE'!J17</f>
        <v>0.05379028</v>
      </c>
      <c r="K17" s="116">
        <v>0.0207071</v>
      </c>
      <c r="L17" s="117">
        <f>+'1) costi totali + UE'!L17</f>
        <v>0.183333</v>
      </c>
      <c r="M17" s="117">
        <v>0.0705833</v>
      </c>
      <c r="N17" s="117">
        <f>+'1) costi totali + UE'!N17</f>
        <v>0.183333</v>
      </c>
      <c r="O17" s="117">
        <v>0.0705833</v>
      </c>
      <c r="P17" s="117">
        <f>+'1) costi totali + UE'!P17</f>
        <v>0.564544</v>
      </c>
      <c r="Q17" s="117">
        <f>0.168378+0.025795+0.023953</f>
        <v>0.218126</v>
      </c>
      <c r="R17" s="117">
        <f>SUM(P17+N17+L17+J17+H17+F17)</f>
        <v>1.10000028</v>
      </c>
      <c r="S17" s="117">
        <f t="shared" si="2"/>
        <v>0.42399970000000003</v>
      </c>
      <c r="T17" s="48"/>
    </row>
    <row r="18" spans="1:19" ht="33.75">
      <c r="A18" s="86"/>
      <c r="B18" s="86" t="s">
        <v>61</v>
      </c>
      <c r="C18" s="6" t="s">
        <v>7</v>
      </c>
      <c r="D18" s="116">
        <v>0.019107</v>
      </c>
      <c r="E18" s="116">
        <v>0</v>
      </c>
      <c r="F18" s="116">
        <f>0.642-0.642</f>
        <v>0</v>
      </c>
      <c r="G18" s="116">
        <f>+F18*0.5</f>
        <v>0</v>
      </c>
      <c r="H18" s="116">
        <v>0</v>
      </c>
      <c r="I18" s="116">
        <f>+H18*0.5</f>
        <v>0</v>
      </c>
      <c r="J18" s="116">
        <f>+'1) costi totali + UE'!J18</f>
        <v>0</v>
      </c>
      <c r="K18" s="116">
        <v>0</v>
      </c>
      <c r="L18" s="117">
        <f>+'1) costi totali + UE'!L18</f>
        <v>0</v>
      </c>
      <c r="M18" s="117">
        <v>0</v>
      </c>
      <c r="N18" s="117">
        <f>+'1) costi totali + UE'!N18</f>
        <v>0</v>
      </c>
      <c r="O18" s="117">
        <v>0</v>
      </c>
      <c r="P18" s="117">
        <f>+'1) costi totali + UE'!P18</f>
        <v>0</v>
      </c>
      <c r="Q18" s="117">
        <v>0</v>
      </c>
      <c r="R18" s="117">
        <f aca="true" t="shared" si="4" ref="R18:S21">+P18+N18+L18+J18+H18+F18+D18</f>
        <v>0.019107</v>
      </c>
      <c r="S18" s="117">
        <f t="shared" si="4"/>
        <v>0</v>
      </c>
    </row>
    <row r="19" spans="1:20" ht="33.75">
      <c r="A19" s="86">
        <v>6</v>
      </c>
      <c r="B19" s="86" t="s">
        <v>66</v>
      </c>
      <c r="C19" s="6" t="s">
        <v>25</v>
      </c>
      <c r="D19" s="116">
        <v>0.160714</v>
      </c>
      <c r="E19" s="116">
        <v>0</v>
      </c>
      <c r="F19" s="116">
        <v>13.91558</v>
      </c>
      <c r="G19" s="116">
        <v>2.43522649</v>
      </c>
      <c r="H19" s="116">
        <v>14.258</v>
      </c>
      <c r="I19" s="116">
        <v>2.49521386</v>
      </c>
      <c r="J19" s="116">
        <f>+'1) costi totali + UE'!J19</f>
        <v>22.348246666666668</v>
      </c>
      <c r="K19" s="116">
        <f>+J19*0.175</f>
        <v>3.9109431666666667</v>
      </c>
      <c r="L19" s="117">
        <f>+'1) costi totali + UE'!L19</f>
        <v>10.1</v>
      </c>
      <c r="M19" s="117">
        <v>1.7675</v>
      </c>
      <c r="N19" s="117">
        <f>+'1) costi totali + UE'!N19</f>
        <v>7.383793</v>
      </c>
      <c r="O19" s="117">
        <v>1.320116</v>
      </c>
      <c r="P19" s="117">
        <f>+'1) costi totali + UE'!P19</f>
        <v>0</v>
      </c>
      <c r="Q19" s="117">
        <v>0</v>
      </c>
      <c r="R19" s="117">
        <f t="shared" si="4"/>
        <v>68.16633366666667</v>
      </c>
      <c r="S19" s="117">
        <f>+Q19+O19+M19+K19+I19+G19+E19</f>
        <v>11.928999516666666</v>
      </c>
      <c r="T19" s="48"/>
    </row>
    <row r="20" spans="1:20" ht="33.75">
      <c r="A20" s="86">
        <v>7</v>
      </c>
      <c r="B20" s="86" t="s">
        <v>67</v>
      </c>
      <c r="C20" s="6" t="s">
        <v>26</v>
      </c>
      <c r="D20" s="116">
        <v>0.004464</v>
      </c>
      <c r="E20" s="116">
        <v>0</v>
      </c>
      <c r="F20" s="116">
        <v>0</v>
      </c>
      <c r="G20" s="116">
        <v>0</v>
      </c>
      <c r="H20" s="116">
        <v>0</v>
      </c>
      <c r="I20" s="116">
        <f>+H20*0.353</f>
        <v>0</v>
      </c>
      <c r="J20" s="116">
        <f>+'1) costi totali + UE'!J20</f>
        <v>0</v>
      </c>
      <c r="K20" s="116">
        <f>+J20*0.353</f>
        <v>0</v>
      </c>
      <c r="L20" s="117">
        <f>+'1) costi totali + UE'!L20</f>
        <v>0</v>
      </c>
      <c r="M20" s="117">
        <f>+L20*0.353</f>
        <v>0</v>
      </c>
      <c r="N20" s="117">
        <f>+'1) costi totali + UE'!N20</f>
        <v>0</v>
      </c>
      <c r="O20" s="117">
        <f>+N20*0.353</f>
        <v>0</v>
      </c>
      <c r="P20" s="117">
        <f>+'1) costi totali + UE'!P20</f>
        <v>0</v>
      </c>
      <c r="Q20" s="117">
        <v>0</v>
      </c>
      <c r="R20" s="117">
        <f t="shared" si="4"/>
        <v>0.004464</v>
      </c>
      <c r="S20" s="117">
        <f t="shared" si="4"/>
        <v>0</v>
      </c>
      <c r="T20" s="48"/>
    </row>
    <row r="21" spans="1:19" ht="12.75">
      <c r="A21" s="86">
        <v>8</v>
      </c>
      <c r="B21" s="86" t="s">
        <v>62</v>
      </c>
      <c r="C21" s="6" t="s">
        <v>27</v>
      </c>
      <c r="D21" s="116">
        <v>0.006696</v>
      </c>
      <c r="E21" s="116">
        <v>0</v>
      </c>
      <c r="F21" s="116">
        <v>0.075</v>
      </c>
      <c r="G21" s="116">
        <v>0.02625018</v>
      </c>
      <c r="H21" s="116">
        <v>0.135</v>
      </c>
      <c r="I21" s="116">
        <v>0.04725</v>
      </c>
      <c r="J21" s="116">
        <f>+'1) costi totali + UE'!J21</f>
        <v>0.135</v>
      </c>
      <c r="K21" s="116">
        <v>0.04725</v>
      </c>
      <c r="L21" s="117">
        <f>+'1) costi totali + UE'!L21</f>
        <v>0.135</v>
      </c>
      <c r="M21" s="117">
        <v>0.04725</v>
      </c>
      <c r="N21" s="117">
        <f>+'1) costi totali + UE'!N21</f>
        <v>0.1355</v>
      </c>
      <c r="O21" s="117">
        <v>0.04725</v>
      </c>
      <c r="P21" s="117">
        <f>+'1) costi totali + UE'!P21</f>
        <v>0.127804</v>
      </c>
      <c r="Q21" s="117">
        <v>0.04775</v>
      </c>
      <c r="R21" s="117">
        <f t="shared" si="4"/>
        <v>0.75</v>
      </c>
      <c r="S21" s="117">
        <f>+Q21+O21+M21+K21+I21+G21+E21</f>
        <v>0.26300018000000003</v>
      </c>
    </row>
    <row r="22" spans="1:20" ht="45">
      <c r="A22" s="86">
        <v>9</v>
      </c>
      <c r="B22" s="86" t="s">
        <v>63</v>
      </c>
      <c r="C22" s="6" t="s">
        <v>28</v>
      </c>
      <c r="D22" s="116">
        <v>0.005357</v>
      </c>
      <c r="E22" s="116">
        <v>0</v>
      </c>
      <c r="F22" s="116">
        <v>0</v>
      </c>
      <c r="G22" s="116">
        <v>0</v>
      </c>
      <c r="H22" s="116">
        <v>0</v>
      </c>
      <c r="I22" s="116">
        <f>+H22*0.221</f>
        <v>0</v>
      </c>
      <c r="J22" s="116">
        <f>+'1) costi totali + UE'!J22</f>
        <v>0</v>
      </c>
      <c r="K22" s="116">
        <f>+J22*0.221</f>
        <v>0</v>
      </c>
      <c r="L22" s="117">
        <f>+'1) costi totali + UE'!L22</f>
        <v>0</v>
      </c>
      <c r="M22" s="117">
        <f>+L22*0.221</f>
        <v>0</v>
      </c>
      <c r="N22" s="117">
        <f>+'1) costi totali + UE'!N22</f>
        <v>0.524643</v>
      </c>
      <c r="O22" s="117">
        <f>0.037128+0.077872</f>
        <v>0.11499999999999999</v>
      </c>
      <c r="P22" s="117">
        <f>+'1) costi totali + UE'!P22</f>
        <v>0</v>
      </c>
      <c r="Q22" s="117">
        <f>0.077872-0.077872</f>
        <v>0</v>
      </c>
      <c r="R22" s="117">
        <f aca="true" t="shared" si="5" ref="R22:S25">+P22+N22+L22+J22+H22+F22+D22</f>
        <v>0.5299999999999999</v>
      </c>
      <c r="S22" s="117">
        <f>+Q22+O22+M22+K22+I22+G22+E22</f>
        <v>0.11499999999999999</v>
      </c>
      <c r="T22" s="48">
        <f>0.115-S22</f>
        <v>0</v>
      </c>
    </row>
    <row r="23" spans="1:19" ht="22.5">
      <c r="A23" s="86">
        <v>10</v>
      </c>
      <c r="B23" s="86" t="s">
        <v>68</v>
      </c>
      <c r="C23" s="6" t="s">
        <v>29</v>
      </c>
      <c r="D23" s="116">
        <v>0.005357</v>
      </c>
      <c r="E23" s="116">
        <v>0</v>
      </c>
      <c r="F23" s="116">
        <v>0</v>
      </c>
      <c r="G23" s="116">
        <v>0</v>
      </c>
      <c r="H23" s="116">
        <v>0</v>
      </c>
      <c r="I23" s="116">
        <f>+H23*0.353</f>
        <v>0</v>
      </c>
      <c r="J23" s="116">
        <f>+'1) costi totali + UE'!J23</f>
        <v>0</v>
      </c>
      <c r="K23" s="116">
        <f>+J23*0.353</f>
        <v>0</v>
      </c>
      <c r="L23" s="117">
        <f>+'1) costi totali + UE'!L23</f>
        <v>0</v>
      </c>
      <c r="M23" s="117">
        <f>+L23*0.353</f>
        <v>0</v>
      </c>
      <c r="N23" s="117">
        <f>+'1) costi totali + UE'!N23</f>
        <v>0</v>
      </c>
      <c r="O23" s="117">
        <f>+N23*0.353</f>
        <v>0</v>
      </c>
      <c r="P23" s="117">
        <f>+'1) costi totali + UE'!P23</f>
        <v>0</v>
      </c>
      <c r="Q23" s="117">
        <v>0</v>
      </c>
      <c r="R23" s="117">
        <f t="shared" si="5"/>
        <v>0.005357</v>
      </c>
      <c r="S23" s="117">
        <f t="shared" si="5"/>
        <v>0</v>
      </c>
    </row>
    <row r="24" spans="1:20" ht="33.75">
      <c r="A24" s="86">
        <v>11</v>
      </c>
      <c r="B24" s="86" t="s">
        <v>69</v>
      </c>
      <c r="C24" s="6" t="s">
        <v>30</v>
      </c>
      <c r="D24" s="116">
        <v>0.064286</v>
      </c>
      <c r="E24" s="116">
        <v>0</v>
      </c>
      <c r="F24" s="116">
        <v>0</v>
      </c>
      <c r="G24" s="116">
        <f>+F24*0.353</f>
        <v>0</v>
      </c>
      <c r="H24" s="116">
        <v>0.998</v>
      </c>
      <c r="I24" s="116">
        <v>0.35211686</v>
      </c>
      <c r="J24" s="116">
        <f>+'1) costi totali + UE'!J24</f>
        <v>2.30450835</v>
      </c>
      <c r="K24" s="116">
        <v>0.81339927</v>
      </c>
      <c r="L24" s="117">
        <f>+'1) costi totali + UE'!L24</f>
        <v>2.491</v>
      </c>
      <c r="M24" s="117">
        <v>0.879323</v>
      </c>
      <c r="N24" s="117">
        <f>+'1) costi totali + UE'!N24</f>
        <v>3.6843510000000004</v>
      </c>
      <c r="O24" s="117">
        <f>0.821549+0.479027</f>
        <v>1.300576</v>
      </c>
      <c r="P24" s="117">
        <f>+'1) costi totali + UE'!P24</f>
        <v>2.6082330000000007</v>
      </c>
      <c r="Q24" s="117">
        <f>1.353041-0.314597+0.620135-0.237088-0.479027-0.0038793</f>
        <v>0.9385847</v>
      </c>
      <c r="R24" s="117">
        <f t="shared" si="5"/>
        <v>12.150378349999999</v>
      </c>
      <c r="S24" s="117">
        <f t="shared" si="5"/>
        <v>4.28399983</v>
      </c>
      <c r="T24" s="48"/>
    </row>
    <row r="25" spans="1:20" ht="22.5">
      <c r="A25" s="86">
        <v>12</v>
      </c>
      <c r="B25" s="86" t="s">
        <v>70</v>
      </c>
      <c r="C25" s="6" t="s">
        <v>31</v>
      </c>
      <c r="D25" s="116">
        <v>0.108179</v>
      </c>
      <c r="E25" s="116">
        <v>0</v>
      </c>
      <c r="F25" s="116">
        <v>2.76</v>
      </c>
      <c r="G25" s="116">
        <v>0.97428005</v>
      </c>
      <c r="H25" s="116">
        <v>1.791</v>
      </c>
      <c r="I25" s="116">
        <v>0.58180028</v>
      </c>
      <c r="J25" s="116">
        <f>+'1) costi totali + UE'!J25</f>
        <v>3.333611</v>
      </c>
      <c r="K25" s="116">
        <v>1.159971</v>
      </c>
      <c r="L25" s="117">
        <f>+'1) costi totali + UE'!L25</f>
        <v>3.343</v>
      </c>
      <c r="M25" s="117">
        <v>0.929354</v>
      </c>
      <c r="N25" s="117">
        <f>+'1) costi totali + UE'!N25</f>
        <v>5.854076999999999</v>
      </c>
      <c r="O25" s="117">
        <f>1.150086+0.477347</f>
        <v>1.627433</v>
      </c>
      <c r="P25" s="117">
        <f>+'1) costi totali + UE'!P25</f>
        <v>6.209163</v>
      </c>
      <c r="Q25" s="117">
        <f>1.941238-0.384205+0.152475-0.477347</f>
        <v>1.232161</v>
      </c>
      <c r="R25" s="117">
        <f t="shared" si="5"/>
        <v>23.399030000000003</v>
      </c>
      <c r="S25" s="117">
        <f>+Q25+O25+M25+K25+I25+G25+E25</f>
        <v>6.5049993299999995</v>
      </c>
      <c r="T25" s="48"/>
    </row>
    <row r="26" spans="1:20" ht="12.75">
      <c r="A26" s="86">
        <v>13</v>
      </c>
      <c r="B26" s="86" t="s">
        <v>64</v>
      </c>
      <c r="C26" s="6" t="s">
        <v>32</v>
      </c>
      <c r="D26" s="118">
        <v>1.12625</v>
      </c>
      <c r="E26" s="116">
        <v>0</v>
      </c>
      <c r="F26" s="116">
        <f>11.3217522</f>
        <v>11.3217522</v>
      </c>
      <c r="G26" s="116">
        <v>5.6608761</v>
      </c>
      <c r="H26" s="116">
        <v>16.95335428</v>
      </c>
      <c r="I26" s="116">
        <v>8.47667714</v>
      </c>
      <c r="J26" s="116">
        <f>+'1) costi totali + UE'!J26</f>
        <v>16.1281301</v>
      </c>
      <c r="K26" s="116">
        <f>+J26*0.5</f>
        <v>8.06406505</v>
      </c>
      <c r="L26" s="117">
        <f>+'1) costi totali + UE'!L26</f>
        <v>15.758418</v>
      </c>
      <c r="M26" s="117">
        <f>7.875+0.004209</f>
        <v>7.879209</v>
      </c>
      <c r="N26" s="117">
        <f>+'1) costi totali + UE'!N26</f>
        <v>15.484</v>
      </c>
      <c r="O26" s="117">
        <v>7.742</v>
      </c>
      <c r="P26" s="117">
        <f>+'1) costi totali + UE'!P26</f>
        <v>14.403598999999998</v>
      </c>
      <c r="Q26" s="117">
        <f>7.856447+0.033042-0.1231116</f>
        <v>7.7663774000000005</v>
      </c>
      <c r="R26" s="117">
        <f>P26+N26+L26+J26+H26+F26+D26</f>
        <v>91.17550358000001</v>
      </c>
      <c r="S26" s="117">
        <f>Q26+O26+M26+K26+I26+G26+E26</f>
        <v>45.58920469</v>
      </c>
      <c r="T26" s="48"/>
    </row>
    <row r="27" spans="1:22" ht="12.75">
      <c r="A27" s="86"/>
      <c r="B27" s="86"/>
      <c r="C27" s="6" t="s">
        <v>5</v>
      </c>
      <c r="D27" s="118">
        <v>31.308258</v>
      </c>
      <c r="E27" s="116">
        <v>15.65412905</v>
      </c>
      <c r="F27" s="116">
        <f>2.0217454+0.003332</f>
        <v>2.0250774</v>
      </c>
      <c r="G27" s="116">
        <v>1.01075154</v>
      </c>
      <c r="H27" s="116">
        <v>0.75170132</v>
      </c>
      <c r="I27" s="116">
        <v>0.37585066</v>
      </c>
      <c r="J27" s="116">
        <f>+'1) costi totali + UE'!J27</f>
        <v>0.87946014</v>
      </c>
      <c r="K27" s="116">
        <f>+J27*0.5</f>
        <v>0.43973007</v>
      </c>
      <c r="L27" s="117">
        <f>+'1) costi totali + UE'!L27</f>
        <v>0</v>
      </c>
      <c r="M27" s="117">
        <v>0</v>
      </c>
      <c r="N27" s="117">
        <f>+'1) costi totali + UE'!N27</f>
        <v>0</v>
      </c>
      <c r="O27" s="117">
        <v>0</v>
      </c>
      <c r="P27" s="117">
        <f>+'1) costi totali + UE'!P27</f>
        <v>0</v>
      </c>
      <c r="Q27" s="117">
        <v>0</v>
      </c>
      <c r="R27" s="117">
        <f>P27+N27+L27+J27+H27+F27+D27</f>
        <v>34.96449686</v>
      </c>
      <c r="S27" s="117">
        <f>Q27+O27+M27+K27+I27+G27+E27</f>
        <v>17.48046132</v>
      </c>
      <c r="T27" s="48"/>
      <c r="U27" s="5"/>
      <c r="V27" s="5"/>
    </row>
    <row r="28" spans="1:20" ht="33.75">
      <c r="A28" s="86">
        <v>14</v>
      </c>
      <c r="B28" s="86" t="s">
        <v>65</v>
      </c>
      <c r="C28" s="6" t="s">
        <v>33</v>
      </c>
      <c r="D28" s="116">
        <v>0.271072</v>
      </c>
      <c r="E28" s="116">
        <v>0</v>
      </c>
      <c r="F28" s="116">
        <v>3.945877</v>
      </c>
      <c r="G28" s="116">
        <v>1.9729385</v>
      </c>
      <c r="H28" s="116">
        <v>6.53143032</v>
      </c>
      <c r="I28" s="116">
        <v>3.26571516</v>
      </c>
      <c r="J28" s="116">
        <f>+'1) costi totali + UE'!J28</f>
        <v>7.7910946</v>
      </c>
      <c r="K28" s="116">
        <f>+J28*0.5</f>
        <v>3.8955473</v>
      </c>
      <c r="L28" s="117">
        <f>+'1) costi totali + UE'!L28</f>
        <v>6.695582</v>
      </c>
      <c r="M28" s="117">
        <f>+L28*0.5</f>
        <v>3.347791</v>
      </c>
      <c r="N28" s="117">
        <f>+'1) costi totali + UE'!N28</f>
        <v>4.220767</v>
      </c>
      <c r="O28" s="117">
        <f>1.953148+0.3134715</f>
        <v>2.2666195</v>
      </c>
      <c r="P28" s="117">
        <f>+'1) costi totali + UE'!P28</f>
        <v>0.862777</v>
      </c>
      <c r="Q28" s="117">
        <f>+P28*0.5</f>
        <v>0.4313885</v>
      </c>
      <c r="R28" s="117">
        <f>SUM(D28+F28+H28+J28+L28+N28+P28)</f>
        <v>30.318599920000004</v>
      </c>
      <c r="S28" s="117">
        <f>SUM(E28+G28+I28+K28+M28+O28+Q28)</f>
        <v>15.17999996</v>
      </c>
      <c r="T28" s="48"/>
    </row>
    <row r="29" spans="1:19" ht="56.25">
      <c r="A29" s="86" t="s">
        <v>8</v>
      </c>
      <c r="B29" s="86" t="s">
        <v>71</v>
      </c>
      <c r="C29" s="6" t="s">
        <v>34</v>
      </c>
      <c r="D29" s="116">
        <v>0.004357</v>
      </c>
      <c r="E29" s="116">
        <v>0</v>
      </c>
      <c r="F29" s="116">
        <v>0</v>
      </c>
      <c r="G29" s="116">
        <v>0</v>
      </c>
      <c r="H29" s="116">
        <v>0</v>
      </c>
      <c r="I29" s="116">
        <f>+H29*0.221</f>
        <v>0</v>
      </c>
      <c r="J29" s="116">
        <f>+'1) costi totali + UE'!J29</f>
        <v>0</v>
      </c>
      <c r="K29" s="116">
        <f>+J29*0.221</f>
        <v>0</v>
      </c>
      <c r="L29" s="117">
        <f>+'1) costi totali + UE'!L29</f>
        <v>0</v>
      </c>
      <c r="M29" s="117">
        <f>+L29*0.221</f>
        <v>0</v>
      </c>
      <c r="N29" s="117">
        <f>+'1) costi totali + UE'!N29</f>
        <v>0</v>
      </c>
      <c r="O29" s="117">
        <f>+N29*0.221</f>
        <v>0</v>
      </c>
      <c r="P29" s="117">
        <f>+'1) costi totali + UE'!P29</f>
        <v>0</v>
      </c>
      <c r="Q29" s="117">
        <v>0</v>
      </c>
      <c r="R29" s="117">
        <f aca="true" t="shared" si="6" ref="R29:S32">+P29+N29+L29+J29+H29+F29+D29</f>
        <v>0.004357</v>
      </c>
      <c r="S29" s="117">
        <f t="shared" si="6"/>
        <v>0</v>
      </c>
    </row>
    <row r="30" spans="1:21" ht="45">
      <c r="A30" s="86" t="s">
        <v>36</v>
      </c>
      <c r="B30" s="86" t="s">
        <v>60</v>
      </c>
      <c r="C30" s="6" t="s">
        <v>35</v>
      </c>
      <c r="D30" s="116">
        <f>SUM(D31:D32)</f>
        <v>0</v>
      </c>
      <c r="E30" s="116">
        <f aca="true" t="shared" si="7" ref="E30:O30">SUM(E31:E32)</f>
        <v>0</v>
      </c>
      <c r="F30" s="116">
        <f t="shared" si="7"/>
        <v>2.9090457499999998</v>
      </c>
      <c r="G30" s="116">
        <f t="shared" si="7"/>
        <v>0.488858</v>
      </c>
      <c r="H30" s="116">
        <f t="shared" si="7"/>
        <v>5.552014000000001</v>
      </c>
      <c r="I30" s="116">
        <f t="shared" si="7"/>
        <v>1.157618352</v>
      </c>
      <c r="J30" s="116">
        <f>+'1) costi totali + UE'!J30</f>
        <v>8.93057134</v>
      </c>
      <c r="K30" s="116">
        <f t="shared" si="7"/>
        <v>2.2555614</v>
      </c>
      <c r="L30" s="117">
        <f>+'1) costi totali + UE'!L30</f>
        <v>5.348</v>
      </c>
      <c r="M30" s="117">
        <f t="shared" si="7"/>
        <v>1.349031</v>
      </c>
      <c r="N30" s="117">
        <f>+'1) costi totali + UE'!N30</f>
        <v>6.462</v>
      </c>
      <c r="O30" s="117">
        <f t="shared" si="7"/>
        <v>1.6318663</v>
      </c>
      <c r="P30" s="117">
        <f>+'1) costi totali + UE'!P30</f>
        <v>4.866369000000001</v>
      </c>
      <c r="Q30" s="117">
        <f>SUM(Q31:Q32)-0.003+0.000001</f>
        <v>1.7190645999999998</v>
      </c>
      <c r="R30" s="117">
        <f t="shared" si="6"/>
        <v>34.06800009</v>
      </c>
      <c r="S30" s="117">
        <f>+Q30+O30+M30+K30+I30+G30+E30</f>
        <v>8.601999652</v>
      </c>
      <c r="U30" s="5"/>
    </row>
    <row r="31" spans="1:20" ht="45">
      <c r="A31" s="86" t="s">
        <v>9</v>
      </c>
      <c r="B31" s="86"/>
      <c r="C31" s="6" t="s">
        <v>38</v>
      </c>
      <c r="D31" s="116"/>
      <c r="E31" s="116"/>
      <c r="F31" s="116">
        <v>0</v>
      </c>
      <c r="G31" s="116">
        <v>0</v>
      </c>
      <c r="H31" s="116">
        <v>1.011</v>
      </c>
      <c r="I31" s="116">
        <v>0.393727</v>
      </c>
      <c r="J31" s="116">
        <f>+'1) costi totali + UE'!J31</f>
        <v>3.42534584</v>
      </c>
      <c r="K31" s="116">
        <v>1.33068352</v>
      </c>
      <c r="L31" s="117">
        <f>+'1) costi totali + UE'!L31</f>
        <v>2.051606</v>
      </c>
      <c r="M31" s="117">
        <v>0.795824</v>
      </c>
      <c r="N31" s="117">
        <f>+'1) costi totali + UE'!N31</f>
        <v>2.479292</v>
      </c>
      <c r="O31" s="117">
        <v>0.9631823</v>
      </c>
      <c r="P31" s="117">
        <f>+'1) costi totali + UE'!P31</f>
        <v>4.1007560000000005</v>
      </c>
      <c r="Q31" s="117">
        <f>2.1952423-0.596845-0.004814</f>
        <v>1.5935832999999997</v>
      </c>
      <c r="R31" s="117">
        <f t="shared" si="6"/>
        <v>13.06799984</v>
      </c>
      <c r="S31" s="117">
        <f t="shared" si="6"/>
        <v>5.07700012</v>
      </c>
      <c r="T31" s="48"/>
    </row>
    <row r="32" spans="1:20" ht="22.5">
      <c r="A32" s="86" t="s">
        <v>10</v>
      </c>
      <c r="B32" s="86"/>
      <c r="C32" s="6" t="s">
        <v>37</v>
      </c>
      <c r="D32" s="116"/>
      <c r="E32" s="116"/>
      <c r="F32" s="116">
        <f>2.90981875-0.000773</f>
        <v>2.9090457499999998</v>
      </c>
      <c r="G32" s="116">
        <f>0.519858-G15</f>
        <v>0.488858</v>
      </c>
      <c r="H32" s="116">
        <f>4.541+0.000014</f>
        <v>4.5410140000000006</v>
      </c>
      <c r="I32" s="116">
        <f>+H32*0.168+0.001001</f>
        <v>0.7638913520000001</v>
      </c>
      <c r="J32" s="116">
        <f>+'1) costi totali + UE'!J32</f>
        <v>5.5052255</v>
      </c>
      <c r="K32" s="116">
        <v>0.92487788</v>
      </c>
      <c r="L32" s="117">
        <f>+'1) costi totali + UE'!L32</f>
        <v>3.296394</v>
      </c>
      <c r="M32" s="117">
        <v>0.553207</v>
      </c>
      <c r="N32" s="117">
        <f>+'1) costi totali + UE'!N32</f>
        <v>3.982708</v>
      </c>
      <c r="O32" s="117">
        <v>0.668684</v>
      </c>
      <c r="P32" s="117">
        <f>+'1) costi totali + UE'!P32</f>
        <v>0.765613</v>
      </c>
      <c r="Q32" s="117">
        <f>0.5478853-0.420103+0.000698</f>
        <v>0.12848030000000002</v>
      </c>
      <c r="R32" s="117">
        <f t="shared" si="6"/>
        <v>21.000000250000003</v>
      </c>
      <c r="S32" s="117">
        <f t="shared" si="6"/>
        <v>3.5279985320000002</v>
      </c>
      <c r="T32" s="48"/>
    </row>
    <row r="33" spans="1:19" s="4" customFormat="1" ht="12.75">
      <c r="A33" s="86"/>
      <c r="B33" s="86"/>
      <c r="C33" s="37" t="s">
        <v>53</v>
      </c>
      <c r="D33" s="116"/>
      <c r="E33" s="116"/>
      <c r="F33" s="116"/>
      <c r="G33" s="116"/>
      <c r="H33" s="116"/>
      <c r="I33" s="116"/>
      <c r="J33" s="116"/>
      <c r="K33" s="116"/>
      <c r="L33" s="117"/>
      <c r="M33" s="117"/>
      <c r="N33" s="117"/>
      <c r="O33" s="117"/>
      <c r="P33" s="117"/>
      <c r="Q33" s="117"/>
      <c r="R33" s="117"/>
      <c r="S33" s="117">
        <f>+Q33+O33+M33+K33+I33+G33+E33</f>
        <v>0</v>
      </c>
    </row>
    <row r="34" spans="1:41" s="3" customFormat="1" ht="12.75">
      <c r="A34" s="87"/>
      <c r="B34" s="86"/>
      <c r="C34" s="38" t="s">
        <v>4</v>
      </c>
      <c r="D34" s="116">
        <f>SUM(D33+D30+D29+D28+D27+D26+D25+D24+D23+D22+D21+D20+D19+D18+D15+D12+D11+D10+D9+D8)</f>
        <v>33.42736499999999</v>
      </c>
      <c r="E34" s="116">
        <f>SUM(E30+E29+E28+E27+E26+E25+E24+E23+E22+E21+E20+E19+E18+E15+E12+E11+E10+E9+E8)</f>
        <v>15.65412905</v>
      </c>
      <c r="F34" s="116">
        <f>SUM(F30+F29+F28+F27+F26+F25+F24+F23+F22+F21+F20+F19+F18+F15+F12+F11+F10+F9+F8)</f>
        <v>43.73933235</v>
      </c>
      <c r="G34" s="116">
        <f>+G32+G31+G29+G28+G27+G26+G25+G24+G23+G22+G21+G20+G19+G18+G17+G16+G14+G13+G11+G10+G9+G8</f>
        <v>14.111460189999997</v>
      </c>
      <c r="H34" s="116">
        <f>SUM(H30+H29+H28+H27+H26+H25+H24+H23+H22+H21+H20+H19+H18+H15+H12+H11+H10+H9+H8)</f>
        <v>56.62599992</v>
      </c>
      <c r="I34" s="116">
        <f>+I32+I31+I29+I28+I27+I26+I25+I24+I23+I22+I21+I20+I19+I18+I17+I16+I14+I13+I11+I10+I9+I8</f>
        <v>19.030321962</v>
      </c>
      <c r="J34" s="116">
        <f>SUM(J30+J29+J28+J27+J26+J25+J24+J23+J22+J21+J20+J19+J18+J15+J12+J11+J10+J9+J8)</f>
        <v>76.60005099666667</v>
      </c>
      <c r="K34" s="116">
        <f>+K32+K31+K29+K28+K27+K26+K25+K24+K23+K22+K21+K20+K19+K18+K17+K16+K14+K13+K11+K10+K9+K8</f>
        <v>23.812660146666666</v>
      </c>
      <c r="L34" s="119">
        <f>SUM(L30+L29+L28+L27+L26+L25+L24+L23+L22+L21+L20+L19+L18+L15+L12+L11+L10+L9+L8)</f>
        <v>52.241767</v>
      </c>
      <c r="M34" s="119">
        <f>SUM(M30+M29+M28+M27+M26+M25+M24+M23+M22+M21+M20+M19+M18+M15+M12+M11+M10+M9+M8)</f>
        <v>18.3180623</v>
      </c>
      <c r="N34" s="119">
        <f>SUM(N30+N29+N28+N27+N26+N25+N24+N23+N22+N21+N20+N19+N18+N15+N12+N11+N10+N9+N8)</f>
        <v>59.56130799999999</v>
      </c>
      <c r="O34" s="119">
        <f>SUM(O30+O29+O28+O27+O26+O25+O24+O23+O22+O21+O20+O19+O18+O15+O12+O11+O10+O9+O8)</f>
        <v>19.9973836</v>
      </c>
      <c r="P34" s="119">
        <f>SUM(P30+P29+P28+P27+P26+P25+P24+P23+P22+P21+P20+P19+P18+P15+P12+P11+P10+P9+P8)</f>
        <v>44.980286</v>
      </c>
      <c r="Q34" s="119">
        <f>SUM(Q30+Q29+Q28+Q27+Q26+Q25+Q24+Q23+Q22+Q21+Q20+Q19+Q18+Q15+Q12+Q11+Q10+Q9+Q8)-0.005523</f>
        <v>15.8641242</v>
      </c>
      <c r="R34" s="119">
        <f>SUM(D34+F34+H34+J34+L34+N34+P34)</f>
        <v>367.17610926666663</v>
      </c>
      <c r="S34" s="119">
        <f>SUM(E34+G34+I34+K34+M34+O34+Q34)+0.000001</f>
        <v>126.78814244866666</v>
      </c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2:19" ht="12.75">
      <c r="B35" s="1"/>
      <c r="C35" s="43"/>
      <c r="D35" s="13"/>
      <c r="E35" s="13"/>
      <c r="F35" s="11"/>
      <c r="G35" s="21"/>
      <c r="H35" s="11"/>
      <c r="I35" s="11"/>
      <c r="J35" s="50"/>
      <c r="K35" s="50"/>
      <c r="L35" s="11"/>
      <c r="M35" s="50"/>
      <c r="N35" s="11"/>
      <c r="O35" s="50"/>
      <c r="P35" s="11"/>
      <c r="Q35" s="50"/>
      <c r="R35" s="50"/>
      <c r="S35" s="50"/>
    </row>
    <row r="36" spans="2:19" ht="12.75">
      <c r="B36" s="34"/>
      <c r="G36" s="49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2:19" ht="12.75">
      <c r="B37" s="35"/>
      <c r="C37" s="42"/>
      <c r="G37" s="49"/>
      <c r="I37" s="48"/>
      <c r="O37" s="48"/>
      <c r="Q37" s="48"/>
      <c r="S37" s="48"/>
    </row>
    <row r="38" spans="2:17" ht="12.75">
      <c r="B38" s="36"/>
      <c r="G38" s="49"/>
      <c r="I38" s="48"/>
      <c r="K38" s="48"/>
      <c r="M38" s="48"/>
      <c r="O38" s="48"/>
      <c r="Q38" s="48"/>
    </row>
    <row r="41" ht="12.75">
      <c r="P41" s="48"/>
    </row>
  </sheetData>
  <mergeCells count="16">
    <mergeCell ref="L6:M6"/>
    <mergeCell ref="N6:O6"/>
    <mergeCell ref="P6:Q6"/>
    <mergeCell ref="R6:S6"/>
    <mergeCell ref="D6:E6"/>
    <mergeCell ref="F6:G6"/>
    <mergeCell ref="H6:I6"/>
    <mergeCell ref="J6:K6"/>
    <mergeCell ref="L5:M5"/>
    <mergeCell ref="N5:O5"/>
    <mergeCell ref="P5:Q5"/>
    <mergeCell ref="R5:S5"/>
    <mergeCell ref="D5:E5"/>
    <mergeCell ref="F5:G5"/>
    <mergeCell ref="H5:I5"/>
    <mergeCell ref="J5:K5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63" r:id="rId1"/>
  <headerFooter alignWithMargins="0">
    <oddHeader>&amp;CPSR 2000-2006</oddHeader>
    <oddFooter>&amp;L&amp;P
&amp;N&amp;C&amp;"Arial Narrow,Normale"&amp;10&amp;F&amp;R&amp;A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7">
    <tabColor indexed="11"/>
    <pageSetUpPr fitToPage="1"/>
  </sheetPr>
  <dimension ref="A1:AC33"/>
  <sheetViews>
    <sheetView showGridLines="0" showZeros="0" tabSelected="1" workbookViewId="0" topLeftCell="A1">
      <pane xSplit="3" ySplit="3" topLeftCell="D4" activePane="bottomRight" state="frozen"/>
      <selection pane="topLeft" activeCell="C39" sqref="C39"/>
      <selection pane="topRight" activeCell="C39" sqref="C39"/>
      <selection pane="bottomLeft" activeCell="C39" sqref="C39"/>
      <selection pane="bottomRight" activeCell="G21" sqref="G21"/>
    </sheetView>
  </sheetViews>
  <sheetFormatPr defaultColWidth="11.421875" defaultRowHeight="12"/>
  <cols>
    <col min="1" max="1" width="7.140625" style="35" bestFit="1" customWidth="1"/>
    <col min="2" max="2" width="6.140625" style="35" bestFit="1" customWidth="1"/>
    <col min="3" max="3" width="38.00390625" style="44" customWidth="1"/>
    <col min="4" max="5" width="10.28125" style="20" bestFit="1" customWidth="1"/>
    <col min="6" max="6" width="6.8515625" style="20" bestFit="1" customWidth="1"/>
    <col min="7" max="7" width="10.28125" style="20" bestFit="1" customWidth="1"/>
    <col min="8" max="8" width="10.00390625" style="20" bestFit="1" customWidth="1"/>
    <col min="9" max="9" width="9.7109375" style="20" bestFit="1" customWidth="1"/>
    <col min="10" max="10" width="10.28125" style="20" bestFit="1" customWidth="1"/>
    <col min="11" max="15" width="10.00390625" style="20" bestFit="1" customWidth="1"/>
    <col min="16" max="24" width="9.7109375" style="20" bestFit="1" customWidth="1"/>
    <col min="25" max="27" width="10.7109375" style="20" bestFit="1" customWidth="1"/>
    <col min="28" max="28" width="10.421875" style="29" bestFit="1" customWidth="1"/>
    <col min="29" max="29" width="8.57421875" style="29" customWidth="1"/>
    <col min="30" max="16384" width="9.140625" style="20" customWidth="1"/>
  </cols>
  <sheetData>
    <row r="1" spans="1:29" s="31" customFormat="1" ht="12">
      <c r="A1" s="90"/>
      <c r="B1" s="91"/>
      <c r="C1" s="92"/>
      <c r="D1" s="162" t="s">
        <v>6</v>
      </c>
      <c r="E1" s="163"/>
      <c r="F1" s="164"/>
      <c r="G1" s="162" t="s">
        <v>6</v>
      </c>
      <c r="H1" s="163"/>
      <c r="I1" s="164"/>
      <c r="J1" s="162" t="s">
        <v>6</v>
      </c>
      <c r="K1" s="163"/>
      <c r="L1" s="164"/>
      <c r="M1" s="162" t="s">
        <v>6</v>
      </c>
      <c r="N1" s="163"/>
      <c r="O1" s="164"/>
      <c r="P1" s="156" t="s">
        <v>6</v>
      </c>
      <c r="Q1" s="157"/>
      <c r="R1" s="158"/>
      <c r="S1" s="156" t="s">
        <v>6</v>
      </c>
      <c r="T1" s="157"/>
      <c r="U1" s="157"/>
      <c r="V1" s="156" t="s">
        <v>6</v>
      </c>
      <c r="W1" s="157"/>
      <c r="X1" s="158"/>
      <c r="Y1" s="157" t="s">
        <v>1</v>
      </c>
      <c r="Z1" s="157"/>
      <c r="AA1" s="158"/>
      <c r="AB1" s="59"/>
      <c r="AC1" s="59"/>
    </row>
    <row r="2" spans="1:29" s="31" customFormat="1" ht="12">
      <c r="A2" s="93" t="s">
        <v>73</v>
      </c>
      <c r="B2" s="94" t="s">
        <v>75</v>
      </c>
      <c r="C2" s="95" t="s">
        <v>0</v>
      </c>
      <c r="D2" s="165">
        <v>2000</v>
      </c>
      <c r="E2" s="166"/>
      <c r="F2" s="167"/>
      <c r="G2" s="165">
        <v>2001</v>
      </c>
      <c r="H2" s="166"/>
      <c r="I2" s="167"/>
      <c r="J2" s="165">
        <v>2002</v>
      </c>
      <c r="K2" s="166"/>
      <c r="L2" s="167"/>
      <c r="M2" s="165">
        <v>2003</v>
      </c>
      <c r="N2" s="166"/>
      <c r="O2" s="167"/>
      <c r="P2" s="159">
        <v>2004</v>
      </c>
      <c r="Q2" s="160"/>
      <c r="R2" s="161"/>
      <c r="S2" s="159">
        <v>2005</v>
      </c>
      <c r="T2" s="160"/>
      <c r="U2" s="160"/>
      <c r="V2" s="159">
        <v>2006</v>
      </c>
      <c r="W2" s="160"/>
      <c r="X2" s="161"/>
      <c r="Y2" s="160" t="s">
        <v>54</v>
      </c>
      <c r="Z2" s="160"/>
      <c r="AA2" s="161"/>
      <c r="AB2" s="59"/>
      <c r="AC2" s="59"/>
    </row>
    <row r="3" spans="1:29" ht="36">
      <c r="A3" s="96" t="s">
        <v>74</v>
      </c>
      <c r="B3" s="97" t="s">
        <v>76</v>
      </c>
      <c r="C3" s="98"/>
      <c r="D3" s="60" t="s">
        <v>41</v>
      </c>
      <c r="E3" s="61" t="s">
        <v>3</v>
      </c>
      <c r="F3" s="62" t="s">
        <v>55</v>
      </c>
      <c r="G3" s="63" t="s">
        <v>41</v>
      </c>
      <c r="H3" s="64" t="s">
        <v>3</v>
      </c>
      <c r="I3" s="62" t="s">
        <v>55</v>
      </c>
      <c r="J3" s="63" t="s">
        <v>41</v>
      </c>
      <c r="K3" s="64" t="s">
        <v>3</v>
      </c>
      <c r="L3" s="62" t="s">
        <v>55</v>
      </c>
      <c r="M3" s="63" t="s">
        <v>41</v>
      </c>
      <c r="N3" s="64" t="s">
        <v>3</v>
      </c>
      <c r="O3" s="62" t="s">
        <v>55</v>
      </c>
      <c r="P3" s="99" t="s">
        <v>41</v>
      </c>
      <c r="Q3" s="100" t="s">
        <v>3</v>
      </c>
      <c r="R3" s="101" t="s">
        <v>55</v>
      </c>
      <c r="S3" s="99" t="s">
        <v>41</v>
      </c>
      <c r="T3" s="100" t="s">
        <v>3</v>
      </c>
      <c r="U3" s="102" t="s">
        <v>55</v>
      </c>
      <c r="V3" s="99" t="s">
        <v>41</v>
      </c>
      <c r="W3" s="100" t="s">
        <v>3</v>
      </c>
      <c r="X3" s="101" t="s">
        <v>55</v>
      </c>
      <c r="Y3" s="103" t="s">
        <v>41</v>
      </c>
      <c r="Z3" s="100" t="s">
        <v>3</v>
      </c>
      <c r="AA3" s="104" t="s">
        <v>55</v>
      </c>
      <c r="AB3" s="65"/>
      <c r="AC3" s="65"/>
    </row>
    <row r="4" spans="1:29" ht="24">
      <c r="A4" s="105">
        <v>1</v>
      </c>
      <c r="B4" s="106" t="s">
        <v>56</v>
      </c>
      <c r="C4" s="66" t="s">
        <v>14</v>
      </c>
      <c r="D4" s="124">
        <v>0.117857</v>
      </c>
      <c r="E4" s="125">
        <f aca="true" t="shared" si="0" ref="E4:E19">+D4</f>
        <v>0.117857</v>
      </c>
      <c r="F4" s="126">
        <f>0.117857-D4</f>
        <v>0</v>
      </c>
      <c r="G4" s="124">
        <f>2.033958</f>
        <v>2.033958</v>
      </c>
      <c r="H4" s="125">
        <v>0.677918</v>
      </c>
      <c r="I4" s="126">
        <f>4.309-G4</f>
        <v>2.275042</v>
      </c>
      <c r="J4" s="124">
        <v>2.770229</v>
      </c>
      <c r="K4" s="125">
        <v>0.923317</v>
      </c>
      <c r="L4" s="126">
        <f>5.923-J4</f>
        <v>3.152771</v>
      </c>
      <c r="M4" s="124">
        <v>4.223983</v>
      </c>
      <c r="N4" s="125">
        <v>1.407853</v>
      </c>
      <c r="O4" s="126">
        <f>9.827938-M4</f>
        <v>5.603955</v>
      </c>
      <c r="P4" s="127">
        <v>1.306695</v>
      </c>
      <c r="Q4" s="128">
        <v>0.435565</v>
      </c>
      <c r="R4" s="129">
        <f>2.903767-P4</f>
        <v>1.5970720000000003</v>
      </c>
      <c r="S4" s="127">
        <v>2.850041</v>
      </c>
      <c r="T4" s="128">
        <v>0.950014</v>
      </c>
      <c r="U4" s="130">
        <f>6.333427-S4</f>
        <v>3.4833860000000003</v>
      </c>
      <c r="V4" s="127">
        <v>3.887238</v>
      </c>
      <c r="W4" s="128">
        <v>1.217476</v>
      </c>
      <c r="X4" s="129">
        <f>8.785345-V4</f>
        <v>4.8981069999999995</v>
      </c>
      <c r="Y4" s="131">
        <f>+V4+S4+P4+M4+J4+G4+D4</f>
        <v>17.190001000000002</v>
      </c>
      <c r="Z4" s="128">
        <f>+W4+T4+Q4+N4+K4+H4+E4</f>
        <v>5.7299999999999995</v>
      </c>
      <c r="AA4" s="129">
        <f>+X4+U4+R4+O4+L4+I4+F4</f>
        <v>21.010333</v>
      </c>
      <c r="AB4" s="74"/>
      <c r="AC4" s="67"/>
    </row>
    <row r="5" spans="1:29" ht="12">
      <c r="A5" s="105">
        <v>2</v>
      </c>
      <c r="B5" s="106" t="s">
        <v>57</v>
      </c>
      <c r="C5" s="66" t="s">
        <v>15</v>
      </c>
      <c r="D5" s="124">
        <v>0.03125</v>
      </c>
      <c r="E5" s="125">
        <f t="shared" si="0"/>
        <v>0.03125</v>
      </c>
      <c r="F5" s="126">
        <f>0.03125-D5</f>
        <v>0</v>
      </c>
      <c r="G5" s="124">
        <v>0.575</v>
      </c>
      <c r="H5" s="125">
        <v>0.2875</v>
      </c>
      <c r="I5" s="126">
        <f>0.575-G5</f>
        <v>0</v>
      </c>
      <c r="J5" s="124">
        <v>1.4975</v>
      </c>
      <c r="K5" s="125">
        <v>0.74875</v>
      </c>
      <c r="L5" s="126">
        <f>1.4975-J5</f>
        <v>0</v>
      </c>
      <c r="M5" s="124">
        <v>1.1025</v>
      </c>
      <c r="N5" s="125">
        <v>0.55125</v>
      </c>
      <c r="O5" s="126">
        <f>1.1025-M5</f>
        <v>0</v>
      </c>
      <c r="P5" s="127">
        <v>1.414</v>
      </c>
      <c r="Q5" s="128">
        <v>0.707</v>
      </c>
      <c r="R5" s="129">
        <f>1.414-P5</f>
        <v>0</v>
      </c>
      <c r="S5" s="127">
        <v>1.23175</v>
      </c>
      <c r="T5" s="128">
        <v>0.60025</v>
      </c>
      <c r="U5" s="130">
        <f>1.23175-S5</f>
        <v>0</v>
      </c>
      <c r="V5" s="127">
        <v>0</v>
      </c>
      <c r="W5" s="128">
        <v>0</v>
      </c>
      <c r="X5" s="129">
        <f>0-V5</f>
        <v>0</v>
      </c>
      <c r="Y5" s="131">
        <f aca="true" t="shared" si="1" ref="Y5:Y23">+V5+S5+P5+M5+J5+G5+D5</f>
        <v>5.851999999999999</v>
      </c>
      <c r="Z5" s="128">
        <f>+W5+T5+Q5+N5+K5+H5+E5</f>
        <v>2.9259999999999997</v>
      </c>
      <c r="AA5" s="129">
        <f aca="true" t="shared" si="2" ref="AA5:AA22">+X5+U5+R5+O5+L5+I5+F5</f>
        <v>0</v>
      </c>
      <c r="AB5" s="74"/>
      <c r="AC5" s="67"/>
    </row>
    <row r="6" spans="1:29" ht="12">
      <c r="A6" s="105">
        <v>3</v>
      </c>
      <c r="B6" s="106" t="s">
        <v>58</v>
      </c>
      <c r="C6" s="66" t="s">
        <v>16</v>
      </c>
      <c r="D6" s="124">
        <v>0.006696</v>
      </c>
      <c r="E6" s="125">
        <f t="shared" si="0"/>
        <v>0.006696</v>
      </c>
      <c r="F6" s="126">
        <f>0.006696-D6</f>
        <v>0</v>
      </c>
      <c r="G6" s="124">
        <v>0</v>
      </c>
      <c r="H6" s="125">
        <v>0</v>
      </c>
      <c r="I6" s="126"/>
      <c r="J6" s="124">
        <v>0</v>
      </c>
      <c r="K6" s="125">
        <v>0</v>
      </c>
      <c r="L6" s="126">
        <v>0</v>
      </c>
      <c r="M6" s="124">
        <v>0</v>
      </c>
      <c r="N6" s="125">
        <v>0</v>
      </c>
      <c r="O6" s="126">
        <v>0</v>
      </c>
      <c r="P6" s="127">
        <v>0</v>
      </c>
      <c r="Q6" s="128">
        <v>0</v>
      </c>
      <c r="R6" s="129">
        <v>0</v>
      </c>
      <c r="S6" s="127">
        <v>0</v>
      </c>
      <c r="T6" s="128">
        <v>0</v>
      </c>
      <c r="U6" s="130"/>
      <c r="V6" s="127">
        <v>0</v>
      </c>
      <c r="W6" s="128">
        <f>+V6</f>
        <v>0</v>
      </c>
      <c r="X6" s="129">
        <f>--V6</f>
        <v>0</v>
      </c>
      <c r="Y6" s="131">
        <f t="shared" si="1"/>
        <v>0.006696</v>
      </c>
      <c r="Z6" s="128">
        <f aca="true" t="shared" si="3" ref="Z6:Z23">+W6+T6+Q6+N6+K6+H6+E6</f>
        <v>0.006696</v>
      </c>
      <c r="AA6" s="129">
        <v>0</v>
      </c>
      <c r="AB6" s="74"/>
      <c r="AC6" s="67"/>
    </row>
    <row r="7" spans="1:29" ht="12">
      <c r="A7" s="105"/>
      <c r="B7" s="106"/>
      <c r="C7" s="66" t="s">
        <v>81</v>
      </c>
      <c r="D7" s="124"/>
      <c r="E7" s="125"/>
      <c r="F7" s="126"/>
      <c r="G7" s="124"/>
      <c r="H7" s="125"/>
      <c r="I7" s="126"/>
      <c r="J7" s="124"/>
      <c r="K7" s="125"/>
      <c r="L7" s="126"/>
      <c r="M7" s="124"/>
      <c r="N7" s="125"/>
      <c r="O7" s="126"/>
      <c r="P7" s="127"/>
      <c r="Q7" s="128"/>
      <c r="R7" s="129"/>
      <c r="S7" s="127"/>
      <c r="T7" s="128"/>
      <c r="U7" s="130"/>
      <c r="V7" s="127"/>
      <c r="W7" s="128"/>
      <c r="X7" s="129"/>
      <c r="Y7" s="131"/>
      <c r="Z7" s="128"/>
      <c r="AA7" s="129"/>
      <c r="AB7" s="74"/>
      <c r="AC7" s="67"/>
    </row>
    <row r="8" spans="1:29" ht="12">
      <c r="A8" s="105">
        <v>4</v>
      </c>
      <c r="B8" s="106" t="s">
        <v>59</v>
      </c>
      <c r="C8" s="66" t="s">
        <v>17</v>
      </c>
      <c r="D8" s="124">
        <v>0.001786</v>
      </c>
      <c r="E8" s="125">
        <f t="shared" si="0"/>
        <v>0.001786</v>
      </c>
      <c r="F8" s="126">
        <f>0.001786-D8</f>
        <v>0</v>
      </c>
      <c r="G8" s="124">
        <v>0</v>
      </c>
      <c r="H8" s="125">
        <v>0</v>
      </c>
      <c r="I8" s="126"/>
      <c r="J8" s="124">
        <v>0</v>
      </c>
      <c r="K8" s="125">
        <v>0</v>
      </c>
      <c r="L8" s="126">
        <v>0</v>
      </c>
      <c r="M8" s="124">
        <v>0</v>
      </c>
      <c r="N8" s="125">
        <v>0</v>
      </c>
      <c r="O8" s="126">
        <v>0</v>
      </c>
      <c r="P8" s="127">
        <v>0</v>
      </c>
      <c r="Q8" s="128">
        <v>0</v>
      </c>
      <c r="R8" s="129">
        <v>0</v>
      </c>
      <c r="S8" s="127">
        <v>0</v>
      </c>
      <c r="T8" s="128">
        <v>0</v>
      </c>
      <c r="U8" s="130"/>
      <c r="V8" s="127">
        <v>0</v>
      </c>
      <c r="W8" s="128">
        <v>0</v>
      </c>
      <c r="X8" s="129">
        <f>0-V8</f>
        <v>0</v>
      </c>
      <c r="Y8" s="131">
        <f t="shared" si="1"/>
        <v>0.001786</v>
      </c>
      <c r="Z8" s="128">
        <f t="shared" si="3"/>
        <v>0.001786</v>
      </c>
      <c r="AA8" s="129">
        <v>0</v>
      </c>
      <c r="AB8" s="74"/>
      <c r="AC8" s="67"/>
    </row>
    <row r="9" spans="1:29" ht="48">
      <c r="A9" s="105" t="s">
        <v>21</v>
      </c>
      <c r="B9" s="106" t="s">
        <v>72</v>
      </c>
      <c r="C9" s="66" t="s">
        <v>39</v>
      </c>
      <c r="D9" s="124">
        <v>0.040179</v>
      </c>
      <c r="E9" s="125">
        <f t="shared" si="0"/>
        <v>0.040179</v>
      </c>
      <c r="F9" s="126">
        <f>0.040179-D9</f>
        <v>0</v>
      </c>
      <c r="G9" s="124">
        <v>0.773047</v>
      </c>
      <c r="H9" s="125">
        <v>0.257657</v>
      </c>
      <c r="I9" s="126">
        <f>1.778-G9</f>
        <v>1.004953</v>
      </c>
      <c r="J9" s="124">
        <v>0.551885</v>
      </c>
      <c r="K9" s="125">
        <v>0.183191</v>
      </c>
      <c r="L9" s="126">
        <f>1.16-J9</f>
        <v>0.608115</v>
      </c>
      <c r="M9" s="124">
        <v>1.547971</v>
      </c>
      <c r="N9" s="125">
        <v>0.509997</v>
      </c>
      <c r="O9" s="126">
        <f>3.06755-M9</f>
        <v>1.5195790000000002</v>
      </c>
      <c r="P9" s="127">
        <v>1.7339</v>
      </c>
      <c r="Q9" s="128">
        <v>0.563</v>
      </c>
      <c r="R9" s="129">
        <f>3.153-P9</f>
        <v>1.4191</v>
      </c>
      <c r="S9" s="127">
        <v>4.18115</v>
      </c>
      <c r="T9" s="128">
        <v>1.35205</v>
      </c>
      <c r="U9" s="130">
        <f>7.347-S9</f>
        <v>3.1658500000000007</v>
      </c>
      <c r="V9" s="127">
        <v>3.033865</v>
      </c>
      <c r="W9" s="128">
        <v>0.957923</v>
      </c>
      <c r="X9" s="129">
        <f>5.613937-V9</f>
        <v>2.580072</v>
      </c>
      <c r="Y9" s="131">
        <f t="shared" si="1"/>
        <v>11.861997</v>
      </c>
      <c r="Z9" s="128">
        <f t="shared" si="3"/>
        <v>3.8639970000000003</v>
      </c>
      <c r="AA9" s="129">
        <f t="shared" si="2"/>
        <v>10.297669</v>
      </c>
      <c r="AB9" s="74"/>
      <c r="AC9" s="67"/>
    </row>
    <row r="10" spans="1:29" ht="36">
      <c r="A10" s="105" t="s">
        <v>11</v>
      </c>
      <c r="B10" s="106" t="s">
        <v>60</v>
      </c>
      <c r="C10" s="66" t="s">
        <v>18</v>
      </c>
      <c r="D10" s="124">
        <v>0.1455</v>
      </c>
      <c r="E10" s="125">
        <f t="shared" si="0"/>
        <v>0.1455</v>
      </c>
      <c r="F10" s="126">
        <f>0.1455-D10</f>
        <v>0</v>
      </c>
      <c r="G10" s="124">
        <v>0.067</v>
      </c>
      <c r="H10" s="125">
        <v>0.023</v>
      </c>
      <c r="I10" s="126">
        <f>0.125-G10</f>
        <v>0.057999999999999996</v>
      </c>
      <c r="J10" s="124">
        <v>0.458</v>
      </c>
      <c r="K10" s="125">
        <v>0.169</v>
      </c>
      <c r="L10" s="126">
        <f>1.075-J10</f>
        <v>0.617</v>
      </c>
      <c r="M10" s="124">
        <v>0.322093</v>
      </c>
      <c r="N10" s="125">
        <v>0.118347</v>
      </c>
      <c r="O10" s="126">
        <f>0.751441-M10</f>
        <v>0.429348</v>
      </c>
      <c r="P10" s="127">
        <v>0.430948</v>
      </c>
      <c r="Q10" s="128">
        <v>0.153333</v>
      </c>
      <c r="R10" s="129">
        <f>0.9-P10</f>
        <v>0.469052</v>
      </c>
      <c r="S10" s="127">
        <v>0.43121</v>
      </c>
      <c r="T10" s="128">
        <v>0.153333</v>
      </c>
      <c r="U10" s="130">
        <f>0.9-S10</f>
        <v>0.46879000000000004</v>
      </c>
      <c r="V10" s="127">
        <v>0.745499</v>
      </c>
      <c r="W10" s="128">
        <v>0.157737</v>
      </c>
      <c r="X10" s="129">
        <f>1.503059-V10</f>
        <v>0.7575599999999999</v>
      </c>
      <c r="Y10" s="131">
        <f>+V10+S10+P10+M10+J10+G10+D10</f>
        <v>2.6002500000000004</v>
      </c>
      <c r="Z10" s="128">
        <f>+W10+T10+Q10+N10+K10+H10+E10</f>
        <v>0.92025</v>
      </c>
      <c r="AA10" s="129">
        <f>+X10+U10+R10+O10+L10+I10+F10</f>
        <v>2.79975</v>
      </c>
      <c r="AB10" s="74"/>
      <c r="AC10" s="67"/>
    </row>
    <row r="11" spans="1:29" ht="24">
      <c r="A11" s="105"/>
      <c r="B11" s="106" t="s">
        <v>61</v>
      </c>
      <c r="C11" s="66" t="s">
        <v>7</v>
      </c>
      <c r="D11" s="124">
        <v>0.019107</v>
      </c>
      <c r="E11" s="125">
        <f t="shared" si="0"/>
        <v>0.019107</v>
      </c>
      <c r="F11" s="126">
        <f>0.019107-D11</f>
        <v>0</v>
      </c>
      <c r="G11" s="124">
        <v>0</v>
      </c>
      <c r="H11" s="125">
        <v>0</v>
      </c>
      <c r="I11" s="126"/>
      <c r="J11" s="124">
        <v>0</v>
      </c>
      <c r="K11" s="125">
        <v>0</v>
      </c>
      <c r="L11" s="126">
        <v>0</v>
      </c>
      <c r="M11" s="124">
        <v>0</v>
      </c>
      <c r="N11" s="125">
        <v>0</v>
      </c>
      <c r="O11" s="126">
        <v>0</v>
      </c>
      <c r="P11" s="127">
        <v>0</v>
      </c>
      <c r="Q11" s="128">
        <v>0</v>
      </c>
      <c r="R11" s="129">
        <v>0</v>
      </c>
      <c r="S11" s="127">
        <v>0</v>
      </c>
      <c r="T11" s="128">
        <v>0</v>
      </c>
      <c r="U11" s="130">
        <v>0</v>
      </c>
      <c r="V11" s="127">
        <v>0</v>
      </c>
      <c r="W11" s="128">
        <v>0</v>
      </c>
      <c r="X11" s="129">
        <f>0-V11</f>
        <v>0</v>
      </c>
      <c r="Y11" s="131">
        <f t="shared" si="1"/>
        <v>0.019107</v>
      </c>
      <c r="Z11" s="128">
        <f t="shared" si="3"/>
        <v>0.019107</v>
      </c>
      <c r="AA11" s="129">
        <f t="shared" si="2"/>
        <v>0</v>
      </c>
      <c r="AB11" s="67"/>
      <c r="AC11" s="67"/>
    </row>
    <row r="12" spans="1:29" ht="12">
      <c r="A12" s="105"/>
      <c r="B12" s="106"/>
      <c r="C12" s="66" t="s">
        <v>82</v>
      </c>
      <c r="D12" s="124"/>
      <c r="E12" s="125"/>
      <c r="F12" s="126"/>
      <c r="G12" s="124"/>
      <c r="H12" s="125"/>
      <c r="I12" s="126"/>
      <c r="J12" s="124"/>
      <c r="K12" s="125"/>
      <c r="L12" s="126"/>
      <c r="M12" s="124"/>
      <c r="N12" s="125"/>
      <c r="O12" s="126"/>
      <c r="P12" s="127"/>
      <c r="Q12" s="128"/>
      <c r="R12" s="129"/>
      <c r="S12" s="127"/>
      <c r="T12" s="128"/>
      <c r="U12" s="130"/>
      <c r="V12" s="127"/>
      <c r="W12" s="128"/>
      <c r="X12" s="129"/>
      <c r="Y12" s="131"/>
      <c r="Z12" s="128"/>
      <c r="AA12" s="129"/>
      <c r="AB12" s="67"/>
      <c r="AC12" s="67"/>
    </row>
    <row r="13" spans="1:29" ht="36">
      <c r="A13" s="105">
        <v>6</v>
      </c>
      <c r="B13" s="106" t="s">
        <v>66</v>
      </c>
      <c r="C13" s="66" t="s">
        <v>25</v>
      </c>
      <c r="D13" s="124">
        <v>0.160714</v>
      </c>
      <c r="E13" s="125">
        <f t="shared" si="0"/>
        <v>0.160714</v>
      </c>
      <c r="F13" s="126">
        <f>0.160714-D13</f>
        <v>0</v>
      </c>
      <c r="G13" s="124">
        <v>5.566232</v>
      </c>
      <c r="H13" s="125">
        <v>2.087337</v>
      </c>
      <c r="I13" s="126">
        <f>13.91558-G13</f>
        <v>8.349347999999999</v>
      </c>
      <c r="J13" s="124">
        <v>5.703346</v>
      </c>
      <c r="K13" s="125">
        <v>2.138755</v>
      </c>
      <c r="L13" s="126">
        <f>14.258-J13</f>
        <v>8.554654</v>
      </c>
      <c r="M13" s="124">
        <v>8.939299</v>
      </c>
      <c r="N13" s="125">
        <v>3.352237</v>
      </c>
      <c r="O13" s="126">
        <f>22.348247-M13</f>
        <v>13.408948</v>
      </c>
      <c r="P13" s="127">
        <v>4.04</v>
      </c>
      <c r="Q13" s="128">
        <v>1.515</v>
      </c>
      <c r="R13" s="129">
        <f>10.1-P13</f>
        <v>6.06</v>
      </c>
      <c r="S13" s="127">
        <v>2.856409</v>
      </c>
      <c r="T13" s="128">
        <v>0.970957</v>
      </c>
      <c r="U13" s="130">
        <f>7.383793-S13</f>
        <v>4.527384</v>
      </c>
      <c r="V13" s="127">
        <v>0</v>
      </c>
      <c r="W13" s="128">
        <v>0</v>
      </c>
      <c r="X13" s="129">
        <f>0-V13</f>
        <v>0</v>
      </c>
      <c r="Y13" s="131">
        <f t="shared" si="1"/>
        <v>27.266</v>
      </c>
      <c r="Z13" s="128">
        <f>+W13+T13+Q13+N13+K13+H13+E13</f>
        <v>10.225</v>
      </c>
      <c r="AA13" s="129">
        <f t="shared" si="2"/>
        <v>40.900334</v>
      </c>
      <c r="AB13" s="74"/>
      <c r="AC13" s="67"/>
    </row>
    <row r="14" spans="1:29" ht="36">
      <c r="A14" s="105">
        <v>7</v>
      </c>
      <c r="B14" s="106" t="s">
        <v>67</v>
      </c>
      <c r="C14" s="66" t="s">
        <v>26</v>
      </c>
      <c r="D14" s="124">
        <v>0.004464</v>
      </c>
      <c r="E14" s="125">
        <f t="shared" si="0"/>
        <v>0.004464</v>
      </c>
      <c r="F14" s="126">
        <f>0.004464-D14</f>
        <v>0</v>
      </c>
      <c r="G14" s="124">
        <v>0</v>
      </c>
      <c r="H14" s="125">
        <v>0</v>
      </c>
      <c r="I14" s="126"/>
      <c r="J14" s="124">
        <v>0</v>
      </c>
      <c r="K14" s="125">
        <v>0</v>
      </c>
      <c r="L14" s="126">
        <v>0</v>
      </c>
      <c r="M14" s="124">
        <v>0</v>
      </c>
      <c r="N14" s="125">
        <v>0</v>
      </c>
      <c r="O14" s="126">
        <v>0</v>
      </c>
      <c r="P14" s="127">
        <v>0</v>
      </c>
      <c r="Q14" s="128">
        <v>0</v>
      </c>
      <c r="R14" s="129">
        <v>0</v>
      </c>
      <c r="S14" s="127">
        <v>0</v>
      </c>
      <c r="T14" s="128">
        <v>0</v>
      </c>
      <c r="U14" s="130">
        <v>0</v>
      </c>
      <c r="V14" s="127">
        <v>0</v>
      </c>
      <c r="W14" s="128">
        <v>0</v>
      </c>
      <c r="X14" s="129">
        <f>0-V14</f>
        <v>0</v>
      </c>
      <c r="Y14" s="131">
        <f t="shared" si="1"/>
        <v>0.004464</v>
      </c>
      <c r="Z14" s="128">
        <f t="shared" si="3"/>
        <v>0.004464</v>
      </c>
      <c r="AA14" s="129">
        <v>0</v>
      </c>
      <c r="AB14" s="67"/>
      <c r="AC14" s="67"/>
    </row>
    <row r="15" spans="1:29" ht="12">
      <c r="A15" s="105">
        <v>8</v>
      </c>
      <c r="B15" s="106" t="s">
        <v>62</v>
      </c>
      <c r="C15" s="66" t="s">
        <v>27</v>
      </c>
      <c r="D15" s="124">
        <v>0.006696</v>
      </c>
      <c r="E15" s="125">
        <f t="shared" si="0"/>
        <v>0.006696</v>
      </c>
      <c r="F15" s="126">
        <f>0.006696-D15</f>
        <v>0</v>
      </c>
      <c r="G15" s="124">
        <v>0.075</v>
      </c>
      <c r="H15" s="125">
        <v>0.0375</v>
      </c>
      <c r="I15" s="126">
        <f>0.075-G15</f>
        <v>0</v>
      </c>
      <c r="J15" s="124">
        <v>0.135</v>
      </c>
      <c r="K15" s="125">
        <v>0.0675</v>
      </c>
      <c r="L15" s="126">
        <f>0.135-J15</f>
        <v>0</v>
      </c>
      <c r="M15" s="124">
        <v>0.135</v>
      </c>
      <c r="N15" s="125">
        <v>0.0675</v>
      </c>
      <c r="O15" s="126">
        <f>0.135-M15</f>
        <v>0</v>
      </c>
      <c r="P15" s="127">
        <v>0.135</v>
      </c>
      <c r="Q15" s="128">
        <v>0.068</v>
      </c>
      <c r="R15" s="129">
        <f>0.135-P15</f>
        <v>0</v>
      </c>
      <c r="S15" s="127">
        <v>0.1355</v>
      </c>
      <c r="T15" s="128">
        <v>0.068</v>
      </c>
      <c r="U15" s="130">
        <f>0.1355-S15</f>
        <v>0</v>
      </c>
      <c r="V15" s="127">
        <v>0.127804</v>
      </c>
      <c r="W15" s="128">
        <v>0.059804</v>
      </c>
      <c r="X15" s="129">
        <f>0.127804-V15</f>
        <v>0</v>
      </c>
      <c r="Y15" s="131">
        <f t="shared" si="1"/>
        <v>0.75</v>
      </c>
      <c r="Z15" s="128">
        <f>+W15+T15+Q15+N15+K15+H15+E15</f>
        <v>0.37499999999999994</v>
      </c>
      <c r="AA15" s="129">
        <f t="shared" si="2"/>
        <v>0</v>
      </c>
      <c r="AB15" s="67"/>
      <c r="AC15" s="67"/>
    </row>
    <row r="16" spans="1:29" ht="48">
      <c r="A16" s="105">
        <v>9</v>
      </c>
      <c r="B16" s="106" t="s">
        <v>63</v>
      </c>
      <c r="C16" s="66" t="s">
        <v>28</v>
      </c>
      <c r="D16" s="124">
        <v>0.005357</v>
      </c>
      <c r="E16" s="125">
        <f t="shared" si="0"/>
        <v>0.005357</v>
      </c>
      <c r="F16" s="126">
        <f>0.005357-D16</f>
        <v>0</v>
      </c>
      <c r="G16" s="124">
        <v>0</v>
      </c>
      <c r="H16" s="125">
        <v>0</v>
      </c>
      <c r="I16" s="126"/>
      <c r="J16" s="124">
        <v>0</v>
      </c>
      <c r="K16" s="125">
        <v>0</v>
      </c>
      <c r="L16" s="126">
        <v>0</v>
      </c>
      <c r="M16" s="124">
        <v>0</v>
      </c>
      <c r="N16" s="125">
        <v>0</v>
      </c>
      <c r="O16" s="126">
        <v>0</v>
      </c>
      <c r="P16" s="127">
        <v>0</v>
      </c>
      <c r="Q16" s="128">
        <v>0</v>
      </c>
      <c r="R16" s="129">
        <v>0</v>
      </c>
      <c r="S16" s="127">
        <v>0.259643</v>
      </c>
      <c r="T16" s="128">
        <v>0.094643</v>
      </c>
      <c r="U16" s="130">
        <f>0.524643-S16</f>
        <v>0.26499999999999996</v>
      </c>
      <c r="V16" s="127">
        <v>0</v>
      </c>
      <c r="W16" s="128">
        <v>0</v>
      </c>
      <c r="X16" s="129">
        <f>0-V16</f>
        <v>0</v>
      </c>
      <c r="Y16" s="131">
        <f t="shared" si="1"/>
        <v>0.265</v>
      </c>
      <c r="Z16" s="128">
        <f>+W16+T16+Q16+N16+K16+H16+E16</f>
        <v>0.1</v>
      </c>
      <c r="AA16" s="129">
        <f t="shared" si="2"/>
        <v>0.26499999999999996</v>
      </c>
      <c r="AB16" s="67"/>
      <c r="AC16" s="67"/>
    </row>
    <row r="17" spans="1:29" ht="24">
      <c r="A17" s="105">
        <v>10</v>
      </c>
      <c r="B17" s="106" t="s">
        <v>68</v>
      </c>
      <c r="C17" s="66" t="s">
        <v>29</v>
      </c>
      <c r="D17" s="124">
        <v>0.005357</v>
      </c>
      <c r="E17" s="125">
        <f t="shared" si="0"/>
        <v>0.005357</v>
      </c>
      <c r="F17" s="126">
        <v>0</v>
      </c>
      <c r="G17" s="124">
        <v>0</v>
      </c>
      <c r="H17" s="125">
        <v>0</v>
      </c>
      <c r="I17" s="126"/>
      <c r="J17" s="124">
        <v>0</v>
      </c>
      <c r="K17" s="125">
        <v>0</v>
      </c>
      <c r="L17" s="126">
        <v>0</v>
      </c>
      <c r="M17" s="124">
        <v>0</v>
      </c>
      <c r="N17" s="125">
        <v>0</v>
      </c>
      <c r="O17" s="126">
        <v>0</v>
      </c>
      <c r="P17" s="127">
        <v>0</v>
      </c>
      <c r="Q17" s="128">
        <v>0</v>
      </c>
      <c r="R17" s="129">
        <v>0</v>
      </c>
      <c r="S17" s="127">
        <v>0</v>
      </c>
      <c r="T17" s="128">
        <v>0</v>
      </c>
      <c r="U17" s="130">
        <v>0</v>
      </c>
      <c r="V17" s="127">
        <v>0</v>
      </c>
      <c r="W17" s="128">
        <v>0</v>
      </c>
      <c r="X17" s="129">
        <f>0-V17</f>
        <v>0</v>
      </c>
      <c r="Y17" s="131">
        <f t="shared" si="1"/>
        <v>0.005357</v>
      </c>
      <c r="Z17" s="128">
        <f t="shared" si="3"/>
        <v>0.005357</v>
      </c>
      <c r="AA17" s="129">
        <v>0</v>
      </c>
      <c r="AB17" s="67"/>
      <c r="AC17" s="67"/>
    </row>
    <row r="18" spans="1:29" ht="36">
      <c r="A18" s="105">
        <v>11</v>
      </c>
      <c r="B18" s="106" t="s">
        <v>69</v>
      </c>
      <c r="C18" s="66" t="s">
        <v>30</v>
      </c>
      <c r="D18" s="124">
        <v>0.064286</v>
      </c>
      <c r="E18" s="125">
        <f t="shared" si="0"/>
        <v>0.064286</v>
      </c>
      <c r="F18" s="126">
        <f>0.064286-D18</f>
        <v>0</v>
      </c>
      <c r="G18" s="124">
        <v>0</v>
      </c>
      <c r="H18" s="125">
        <v>0</v>
      </c>
      <c r="I18" s="126"/>
      <c r="J18" s="124">
        <v>0.798089</v>
      </c>
      <c r="K18" s="125">
        <v>0.295293</v>
      </c>
      <c r="L18" s="126">
        <f>0.998-J18</f>
        <v>0.19991099999999995</v>
      </c>
      <c r="M18" s="124">
        <v>1.843607</v>
      </c>
      <c r="N18" s="125">
        <v>0.682134</v>
      </c>
      <c r="O18" s="126">
        <f>2.304508-M18</f>
        <v>0.4609009999999998</v>
      </c>
      <c r="P18" s="127">
        <v>1.994143</v>
      </c>
      <c r="Q18" s="128">
        <v>0.738</v>
      </c>
      <c r="R18" s="129">
        <f>2.491-P18</f>
        <v>0.4968570000000001</v>
      </c>
      <c r="S18" s="127">
        <v>2.947913</v>
      </c>
      <c r="T18" s="128">
        <v>1.091</v>
      </c>
      <c r="U18" s="130">
        <f>3.684351-S18</f>
        <v>0.7364380000000001</v>
      </c>
      <c r="V18" s="127">
        <v>2.071963</v>
      </c>
      <c r="W18" s="128">
        <v>0.729287</v>
      </c>
      <c r="X18" s="129">
        <f>2.608233-V18</f>
        <v>0.5362699999999996</v>
      </c>
      <c r="Y18" s="131">
        <f>+V18+S18+P18+M18+J18+G18+D18-0.000001</f>
        <v>9.72</v>
      </c>
      <c r="Z18" s="128">
        <f t="shared" si="3"/>
        <v>3.6</v>
      </c>
      <c r="AA18" s="129">
        <f>+X18+U18+R18+O18+L18+I18+F18+0.000001</f>
        <v>2.430378</v>
      </c>
      <c r="AB18" s="74"/>
      <c r="AC18" s="67"/>
    </row>
    <row r="19" spans="1:29" ht="24">
      <c r="A19" s="105">
        <v>12</v>
      </c>
      <c r="B19" s="106" t="s">
        <v>70</v>
      </c>
      <c r="C19" s="66" t="s">
        <v>31</v>
      </c>
      <c r="D19" s="124">
        <v>0.108179</v>
      </c>
      <c r="E19" s="125">
        <f t="shared" si="0"/>
        <v>0.108179</v>
      </c>
      <c r="F19" s="126">
        <f>0.108179-D19</f>
        <v>0</v>
      </c>
      <c r="G19" s="124">
        <v>2.20775</v>
      </c>
      <c r="H19" s="125">
        <v>0.816426</v>
      </c>
      <c r="I19" s="126">
        <f>2.76-G19</f>
        <v>0.5522499999999999</v>
      </c>
      <c r="J19" s="124">
        <v>1.318378</v>
      </c>
      <c r="K19" s="125">
        <v>0.487536</v>
      </c>
      <c r="L19" s="126">
        <f>1.791-J19</f>
        <v>0.4726219999999999</v>
      </c>
      <c r="M19" s="124">
        <v>2.628532</v>
      </c>
      <c r="N19" s="125">
        <v>0.972031</v>
      </c>
      <c r="O19" s="126">
        <f>3.333611-M19</f>
        <v>0.705079</v>
      </c>
      <c r="P19" s="127">
        <v>2.106171</v>
      </c>
      <c r="Q19" s="128">
        <v>0.779</v>
      </c>
      <c r="R19" s="129">
        <f>3.343-P19</f>
        <v>1.2368290000000002</v>
      </c>
      <c r="S19" s="127">
        <v>3.688068</v>
      </c>
      <c r="T19" s="128">
        <v>1.364</v>
      </c>
      <c r="U19" s="130">
        <f>5.854077-S19</f>
        <v>2.1660090000000003</v>
      </c>
      <c r="V19" s="127">
        <v>2.683922</v>
      </c>
      <c r="W19" s="128">
        <v>0.924828</v>
      </c>
      <c r="X19" s="129">
        <f>6.209163-V19</f>
        <v>3.5252410000000003</v>
      </c>
      <c r="Y19" s="131">
        <f t="shared" si="1"/>
        <v>14.741</v>
      </c>
      <c r="Z19" s="128">
        <f>+W19+T19+Q19+N19+K19+H19+E19</f>
        <v>5.452</v>
      </c>
      <c r="AA19" s="129">
        <f t="shared" si="2"/>
        <v>8.65803</v>
      </c>
      <c r="AB19" s="74"/>
      <c r="AC19" s="67"/>
    </row>
    <row r="20" spans="1:29" s="143" customFormat="1" ht="12">
      <c r="A20" s="139">
        <v>13</v>
      </c>
      <c r="B20" s="140" t="s">
        <v>64</v>
      </c>
      <c r="C20" s="141" t="s">
        <v>32</v>
      </c>
      <c r="D20" s="124">
        <f>1.12625+31.308258</f>
        <v>32.434508</v>
      </c>
      <c r="E20" s="125">
        <f>1.12625+15.654129</f>
        <v>16.780379</v>
      </c>
      <c r="F20" s="126"/>
      <c r="G20" s="124">
        <f>11.325084-0.003332+2.025077</f>
        <v>13.346829</v>
      </c>
      <c r="H20" s="125">
        <f>5.664208-0.003332+1.014326</f>
        <v>6.6752020000000005</v>
      </c>
      <c r="I20" s="126">
        <v>0</v>
      </c>
      <c r="J20" s="124">
        <f>16.953354+0.751701</f>
        <v>17.705055</v>
      </c>
      <c r="K20" s="125">
        <f>8.476677+0.375851</f>
        <v>8.852528000000001</v>
      </c>
      <c r="L20" s="126">
        <v>0</v>
      </c>
      <c r="M20" s="124">
        <f>16.12813+0.87946</f>
        <v>17.00759</v>
      </c>
      <c r="N20" s="125">
        <f>8.064065+0.43973</f>
        <v>8.503795</v>
      </c>
      <c r="O20" s="126">
        <v>0</v>
      </c>
      <c r="P20" s="127">
        <v>15.758418</v>
      </c>
      <c r="Q20" s="128">
        <v>7.879209</v>
      </c>
      <c r="R20" s="129">
        <f>15.758418-P20</f>
        <v>0</v>
      </c>
      <c r="S20" s="127">
        <v>15.484</v>
      </c>
      <c r="T20" s="128">
        <v>7.742</v>
      </c>
      <c r="U20" s="130">
        <f>15.484-S20</f>
        <v>0</v>
      </c>
      <c r="V20" s="127">
        <v>14.403597</v>
      </c>
      <c r="W20" s="128">
        <v>6.63722</v>
      </c>
      <c r="X20" s="129">
        <f>14.403597-V20</f>
        <v>0</v>
      </c>
      <c r="Y20" s="131">
        <f t="shared" si="1"/>
        <v>126.139997</v>
      </c>
      <c r="Z20" s="128">
        <f t="shared" si="3"/>
        <v>63.070333000000005</v>
      </c>
      <c r="AA20" s="129">
        <f t="shared" si="2"/>
        <v>0</v>
      </c>
      <c r="AB20" s="142"/>
      <c r="AC20" s="142"/>
    </row>
    <row r="21" spans="1:29" s="143" customFormat="1" ht="12">
      <c r="A21" s="139"/>
      <c r="B21" s="140"/>
      <c r="C21" s="141" t="s">
        <v>83</v>
      </c>
      <c r="D21" s="124">
        <v>31.3082581</v>
      </c>
      <c r="E21" s="125">
        <v>15.65412905</v>
      </c>
      <c r="F21" s="126">
        <f>31.3082581-D21</f>
        <v>0</v>
      </c>
      <c r="G21" s="124">
        <f>2.0217454+0.003332</f>
        <v>2.0250774</v>
      </c>
      <c r="H21" s="125">
        <f>1.01099386+0.003332</f>
        <v>1.0143258599999998</v>
      </c>
      <c r="I21" s="126">
        <f>2.0217454+0.003332-G21</f>
        <v>0</v>
      </c>
      <c r="J21" s="124">
        <v>0.75170132</v>
      </c>
      <c r="K21" s="125">
        <v>0.37585066</v>
      </c>
      <c r="L21" s="126">
        <f>0.75170132-J21</f>
        <v>0</v>
      </c>
      <c r="M21" s="124">
        <v>0.87946</v>
      </c>
      <c r="N21" s="125">
        <v>0.43973</v>
      </c>
      <c r="O21" s="126">
        <f>0.87946-M21</f>
        <v>0</v>
      </c>
      <c r="P21" s="127">
        <v>0</v>
      </c>
      <c r="Q21" s="128">
        <v>0</v>
      </c>
      <c r="R21" s="129">
        <v>0</v>
      </c>
      <c r="S21" s="127">
        <v>0</v>
      </c>
      <c r="T21" s="128">
        <v>0</v>
      </c>
      <c r="U21" s="130">
        <v>0</v>
      </c>
      <c r="V21" s="127">
        <v>0</v>
      </c>
      <c r="W21" s="128">
        <v>0</v>
      </c>
      <c r="X21" s="129">
        <v>0</v>
      </c>
      <c r="Y21" s="131">
        <f t="shared" si="1"/>
        <v>34.96449682</v>
      </c>
      <c r="Z21" s="128">
        <f t="shared" si="3"/>
        <v>17.48403557</v>
      </c>
      <c r="AA21" s="129">
        <f t="shared" si="2"/>
        <v>0</v>
      </c>
      <c r="AB21" s="67"/>
      <c r="AC21" s="142"/>
    </row>
    <row r="22" spans="1:29" ht="36">
      <c r="A22" s="105">
        <v>14</v>
      </c>
      <c r="B22" s="106" t="s">
        <v>65</v>
      </c>
      <c r="C22" s="66" t="s">
        <v>33</v>
      </c>
      <c r="D22" s="124">
        <v>0.271072</v>
      </c>
      <c r="E22" s="125">
        <f>+D22</f>
        <v>0.271072</v>
      </c>
      <c r="F22" s="126">
        <f>0.271072-D22</f>
        <v>0</v>
      </c>
      <c r="G22" s="124">
        <v>3.945877</v>
      </c>
      <c r="H22" s="125">
        <v>1.972939</v>
      </c>
      <c r="I22" s="126">
        <f>3.945877-G22</f>
        <v>0</v>
      </c>
      <c r="J22" s="124">
        <v>6.53143</v>
      </c>
      <c r="K22" s="125">
        <v>3.265715</v>
      </c>
      <c r="L22" s="126">
        <f>6.53143-J22</f>
        <v>0</v>
      </c>
      <c r="M22" s="124">
        <v>7.791095</v>
      </c>
      <c r="N22" s="125">
        <v>3.895547</v>
      </c>
      <c r="O22" s="126">
        <f>7.791095-M22</f>
        <v>0</v>
      </c>
      <c r="P22" s="127">
        <v>6.695582</v>
      </c>
      <c r="Q22" s="128">
        <v>3.347791</v>
      </c>
      <c r="R22" s="129">
        <f>6.695582-P22</f>
        <v>0</v>
      </c>
      <c r="S22" s="127">
        <v>4.220767</v>
      </c>
      <c r="T22" s="128">
        <v>1.953148</v>
      </c>
      <c r="U22" s="130">
        <f>4.220767-S22</f>
        <v>0</v>
      </c>
      <c r="V22" s="127">
        <v>0.862777</v>
      </c>
      <c r="W22" s="128">
        <v>0.431389</v>
      </c>
      <c r="X22" s="129">
        <f>0.862777-V22</f>
        <v>0</v>
      </c>
      <c r="Y22" s="131">
        <f>+V22+S22+P22+M22+J22+G22+D22</f>
        <v>30.318600000000004</v>
      </c>
      <c r="Z22" s="128">
        <f>+W22+T22+Q22+N22+K22+H22+E22-0.000001</f>
        <v>15.1376</v>
      </c>
      <c r="AA22" s="129">
        <f t="shared" si="2"/>
        <v>0</v>
      </c>
      <c r="AB22" s="67"/>
      <c r="AC22" s="67"/>
    </row>
    <row r="23" spans="1:29" ht="48">
      <c r="A23" s="105" t="s">
        <v>8</v>
      </c>
      <c r="B23" s="106" t="s">
        <v>71</v>
      </c>
      <c r="C23" s="66" t="s">
        <v>34</v>
      </c>
      <c r="D23" s="124">
        <v>0.004357</v>
      </c>
      <c r="E23" s="125">
        <f>+D23</f>
        <v>0.004357</v>
      </c>
      <c r="F23" s="126">
        <f>0.004357-D23</f>
        <v>0</v>
      </c>
      <c r="G23" s="124">
        <v>0</v>
      </c>
      <c r="H23" s="125">
        <v>0</v>
      </c>
      <c r="I23" s="126"/>
      <c r="J23" s="124">
        <v>0</v>
      </c>
      <c r="K23" s="125">
        <v>0</v>
      </c>
      <c r="L23" s="126">
        <v>0</v>
      </c>
      <c r="M23" s="124">
        <v>0</v>
      </c>
      <c r="N23" s="125">
        <v>0</v>
      </c>
      <c r="O23" s="126">
        <v>0</v>
      </c>
      <c r="P23" s="127">
        <v>0</v>
      </c>
      <c r="Q23" s="128">
        <v>0</v>
      </c>
      <c r="R23" s="129">
        <v>0</v>
      </c>
      <c r="S23" s="127">
        <v>0</v>
      </c>
      <c r="T23" s="128">
        <v>0</v>
      </c>
      <c r="U23" s="130">
        <v>0</v>
      </c>
      <c r="V23" s="127">
        <v>0</v>
      </c>
      <c r="W23" s="128">
        <v>0</v>
      </c>
      <c r="X23" s="129">
        <f>0-V23</f>
        <v>0</v>
      </c>
      <c r="Y23" s="131">
        <f t="shared" si="1"/>
        <v>0.004357</v>
      </c>
      <c r="Z23" s="128">
        <f t="shared" si="3"/>
        <v>0.004357</v>
      </c>
      <c r="AA23" s="129">
        <v>0</v>
      </c>
      <c r="AB23" s="67"/>
      <c r="AC23" s="67"/>
    </row>
    <row r="24" spans="1:29" ht="48">
      <c r="A24" s="105" t="s">
        <v>36</v>
      </c>
      <c r="B24" s="106" t="s">
        <v>60</v>
      </c>
      <c r="C24" s="66" t="s">
        <v>35</v>
      </c>
      <c r="D24" s="124">
        <v>0</v>
      </c>
      <c r="E24" s="125">
        <v>0</v>
      </c>
      <c r="F24" s="126">
        <v>0</v>
      </c>
      <c r="G24" s="124">
        <v>1.164263</v>
      </c>
      <c r="H24" s="125">
        <v>0.465571</v>
      </c>
      <c r="I24" s="126">
        <f>2.909046-G24</f>
        <v>1.744783</v>
      </c>
      <c r="J24" s="124">
        <v>2.677405</v>
      </c>
      <c r="K24" s="125">
        <v>1.02254</v>
      </c>
      <c r="L24" s="126">
        <f>5.552014-J24</f>
        <v>2.874609</v>
      </c>
      <c r="M24" s="124">
        <v>5.117059</v>
      </c>
      <c r="N24" s="125">
        <v>1.895828</v>
      </c>
      <c r="O24" s="126">
        <f>8.930571-M24</f>
        <v>3.8135120000000002</v>
      </c>
      <c r="P24" s="127">
        <v>3.062445</v>
      </c>
      <c r="Q24" s="128">
        <v>1.134102</v>
      </c>
      <c r="R24" s="129">
        <f>5.348-P24</f>
        <v>2.285555</v>
      </c>
      <c r="S24" s="127">
        <v>3.7025693</v>
      </c>
      <c r="T24" s="128">
        <v>1.370606</v>
      </c>
      <c r="U24" s="130">
        <f>6.462-S24</f>
        <v>2.7594307</v>
      </c>
      <c r="V24" s="127">
        <v>3.793259</v>
      </c>
      <c r="W24" s="128">
        <v>1.339353</v>
      </c>
      <c r="X24" s="129">
        <f>4.866369-V24</f>
        <v>1.0731099999999998</v>
      </c>
      <c r="Y24" s="131">
        <f>+V24+S24+P24+M24+J24+G24+D24</f>
        <v>19.5170003</v>
      </c>
      <c r="Z24" s="128">
        <f>+W24+T24+Q24+N24+K24+H24+E24</f>
        <v>7.228</v>
      </c>
      <c r="AA24" s="129">
        <f>+X24+U24+R24+O24+L24+I24+F24</f>
        <v>14.5509997</v>
      </c>
      <c r="AB24" s="74"/>
      <c r="AC24" s="67"/>
    </row>
    <row r="25" spans="1:29" s="45" customFormat="1" ht="24.75" customHeight="1" thickBot="1">
      <c r="A25" s="107"/>
      <c r="B25" s="108"/>
      <c r="C25" s="68" t="s">
        <v>77</v>
      </c>
      <c r="D25" s="132">
        <f>SUM(D4:D24)-D21</f>
        <v>33.427364999999995</v>
      </c>
      <c r="E25" s="133">
        <f>SUM(E4:E24)-E21</f>
        <v>17.773235999999997</v>
      </c>
      <c r="F25" s="134">
        <f>SUM(F11:F24)</f>
        <v>0</v>
      </c>
      <c r="G25" s="132">
        <f>SUM(G4:G24)+0.000001-G21</f>
        <v>29.754957</v>
      </c>
      <c r="H25" s="133">
        <f>SUM(H4:H24)-0.000001-H21</f>
        <v>13.301049000000003</v>
      </c>
      <c r="I25" s="134">
        <f>SUM(I4:I24)-0.000001</f>
        <v>13.984375</v>
      </c>
      <c r="J25" s="132">
        <f>SUM(J4:J24)-J21</f>
        <v>40.146316999999996</v>
      </c>
      <c r="K25" s="133">
        <f>SUM(K4:K24)-K21</f>
        <v>18.154124999999997</v>
      </c>
      <c r="L25" s="134">
        <f>SUM(L4:L24)+0.000001</f>
        <v>16.479683</v>
      </c>
      <c r="M25" s="132">
        <f>SUM(M4:M24)-0.000002-M21</f>
        <v>50.65872699999999</v>
      </c>
      <c r="N25" s="133">
        <f>SUM(N4:N24)+0.000001-N21</f>
        <v>21.956520000000005</v>
      </c>
      <c r="O25" s="134">
        <f>SUM(O4:O24)+0.000002</f>
        <v>25.941323999999998</v>
      </c>
      <c r="P25" s="135">
        <f>SUM(P4:P24)</f>
        <v>38.677302</v>
      </c>
      <c r="Q25" s="136">
        <f>SUM(Q4:Q24)</f>
        <v>17.32</v>
      </c>
      <c r="R25" s="137">
        <f>SUM(R4:R24)</f>
        <v>13.564465</v>
      </c>
      <c r="S25" s="135">
        <f>SUM(S4:S24)+0.000001</f>
        <v>41.989021300000005</v>
      </c>
      <c r="T25" s="136">
        <f>SUM(T4:T24)-0.000001</f>
        <v>17.709999999999997</v>
      </c>
      <c r="U25" s="137">
        <f>SUM(U4:U24)-0.000001</f>
        <v>17.572286700000003</v>
      </c>
      <c r="V25" s="135">
        <f>SUM(V4:V24)-0.003138</f>
        <v>31.606786</v>
      </c>
      <c r="W25" s="136">
        <f>SUM(W4:W24)</f>
        <v>12.455016999999998</v>
      </c>
      <c r="X25" s="137">
        <f>SUM(X4:X24)+0.003139+0.000001</f>
        <v>13.373499999999996</v>
      </c>
      <c r="Y25" s="135">
        <f>SUM(Y4:Y24)-0.005999-0.000001-Y21</f>
        <v>266.25761230000006</v>
      </c>
      <c r="Z25" s="136">
        <f>SUM(Z4:Z24)+0.000001-Z21</f>
        <v>118.669948</v>
      </c>
      <c r="AA25" s="137">
        <f>SUM(AA4:AA24)+0.005999+0.000003</f>
        <v>100.91849570000002</v>
      </c>
      <c r="AB25" s="73"/>
      <c r="AC25" s="69"/>
    </row>
    <row r="26" spans="1:29" s="45" customFormat="1" ht="24.75" customHeight="1" thickBot="1">
      <c r="A26" s="109"/>
      <c r="B26" s="110"/>
      <c r="C26" s="68" t="s">
        <v>80</v>
      </c>
      <c r="D26" s="132"/>
      <c r="E26" s="133">
        <v>15.82</v>
      </c>
      <c r="F26" s="134"/>
      <c r="G26" s="132"/>
      <c r="H26" s="133">
        <v>16.21</v>
      </c>
      <c r="I26" s="134"/>
      <c r="J26" s="132"/>
      <c r="K26" s="133">
        <v>16.57</v>
      </c>
      <c r="L26" s="134"/>
      <c r="M26" s="132"/>
      <c r="N26" s="133">
        <v>16.94</v>
      </c>
      <c r="O26" s="134"/>
      <c r="P26" s="135"/>
      <c r="Q26" s="136">
        <v>17.32</v>
      </c>
      <c r="R26" s="137"/>
      <c r="S26" s="135"/>
      <c r="T26" s="136">
        <v>17.71</v>
      </c>
      <c r="U26" s="137"/>
      <c r="V26" s="135"/>
      <c r="W26" s="136">
        <v>18.1</v>
      </c>
      <c r="X26" s="137"/>
      <c r="Y26" s="135"/>
      <c r="Z26" s="136">
        <v>118.67</v>
      </c>
      <c r="AA26" s="137"/>
      <c r="AB26" s="69"/>
      <c r="AC26" s="69"/>
    </row>
    <row r="27" spans="1:29" s="45" customFormat="1" ht="24.75" customHeight="1" thickBot="1">
      <c r="A27" s="111"/>
      <c r="B27" s="112"/>
      <c r="C27" s="138" t="s">
        <v>78</v>
      </c>
      <c r="D27" s="132"/>
      <c r="E27" s="133"/>
      <c r="F27" s="134"/>
      <c r="G27" s="132"/>
      <c r="H27" s="133">
        <f>+H26-H25</f>
        <v>2.9089509999999983</v>
      </c>
      <c r="I27" s="134"/>
      <c r="J27" s="132"/>
      <c r="K27" s="133"/>
      <c r="L27" s="134"/>
      <c r="M27" s="132"/>
      <c r="N27" s="133"/>
      <c r="O27" s="134"/>
      <c r="P27" s="135"/>
      <c r="Q27" s="136"/>
      <c r="R27" s="137"/>
      <c r="S27" s="135"/>
      <c r="T27" s="136">
        <v>0</v>
      </c>
      <c r="U27" s="137"/>
      <c r="V27" s="135"/>
      <c r="W27" s="136">
        <f>+W26-W25</f>
        <v>5.644983000000003</v>
      </c>
      <c r="X27" s="137"/>
      <c r="Y27" s="135"/>
      <c r="Z27" s="136">
        <f>SUM(D27:Y27)</f>
        <v>8.553934000000002</v>
      </c>
      <c r="AA27" s="137"/>
      <c r="AB27" s="69"/>
      <c r="AC27" s="69"/>
    </row>
    <row r="28" spans="1:29" s="45" customFormat="1" ht="24.75" customHeight="1" thickBot="1">
      <c r="A28" s="111"/>
      <c r="B28" s="112"/>
      <c r="C28" s="138" t="s">
        <v>79</v>
      </c>
      <c r="D28" s="144"/>
      <c r="E28" s="133">
        <f>+E25-E26</f>
        <v>1.9532359999999969</v>
      </c>
      <c r="F28" s="134"/>
      <c r="G28" s="132"/>
      <c r="H28" s="133"/>
      <c r="I28" s="134"/>
      <c r="J28" s="132"/>
      <c r="K28" s="133">
        <f>+K25-K26</f>
        <v>1.5841249999999967</v>
      </c>
      <c r="L28" s="134"/>
      <c r="M28" s="132"/>
      <c r="N28" s="133">
        <f>+N25-N26</f>
        <v>5.016520000000003</v>
      </c>
      <c r="O28" s="134"/>
      <c r="P28" s="135"/>
      <c r="Q28" s="136">
        <f>+Q25-Q26</f>
        <v>0</v>
      </c>
      <c r="R28" s="137"/>
      <c r="S28" s="135"/>
      <c r="T28" s="136">
        <v>0</v>
      </c>
      <c r="U28" s="137"/>
      <c r="V28" s="135"/>
      <c r="W28" s="136"/>
      <c r="X28" s="137"/>
      <c r="Y28" s="135"/>
      <c r="Z28" s="136">
        <f>SUM(D28:Y28)</f>
        <v>8.553880999999997</v>
      </c>
      <c r="AA28" s="137"/>
      <c r="AB28" s="69"/>
      <c r="AC28" s="69"/>
    </row>
    <row r="29" spans="1:27" ht="12">
      <c r="A29" s="36"/>
      <c r="B29" s="36"/>
      <c r="C29" s="70"/>
      <c r="D29" s="71"/>
      <c r="E29" s="71"/>
      <c r="F29" s="71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72"/>
      <c r="Z29" s="29"/>
      <c r="AA29" s="29"/>
    </row>
    <row r="30" spans="9:27" ht="12">
      <c r="I30" s="58"/>
      <c r="L30" s="58"/>
      <c r="O30" s="58"/>
      <c r="R30" s="58"/>
      <c r="T30" s="58"/>
      <c r="U30" s="58"/>
      <c r="X30" s="58"/>
      <c r="Y30" s="32"/>
      <c r="Z30" s="32"/>
      <c r="AA30" s="58"/>
    </row>
    <row r="31" spans="7:27" ht="12">
      <c r="G31" s="32"/>
      <c r="I31" s="58"/>
      <c r="J31" s="32"/>
      <c r="L31" s="58"/>
      <c r="O31" s="58"/>
      <c r="R31" s="58"/>
      <c r="T31" s="58"/>
      <c r="Y31" s="58"/>
      <c r="AA31" s="58"/>
    </row>
    <row r="32" spans="7:24" ht="12">
      <c r="G32" s="32"/>
      <c r="X32" s="58"/>
    </row>
    <row r="33" spans="7:24" ht="12">
      <c r="G33" s="32"/>
      <c r="V33" s="58"/>
      <c r="X33" s="58"/>
    </row>
  </sheetData>
  <mergeCells count="16">
    <mergeCell ref="D1:F1"/>
    <mergeCell ref="D2:F2"/>
    <mergeCell ref="Y1:AA1"/>
    <mergeCell ref="Y2:AA2"/>
    <mergeCell ref="S1:U1"/>
    <mergeCell ref="S2:U2"/>
    <mergeCell ref="V1:X1"/>
    <mergeCell ref="V2:X2"/>
    <mergeCell ref="M1:O1"/>
    <mergeCell ref="M2:O2"/>
    <mergeCell ref="P1:R1"/>
    <mergeCell ref="P2:R2"/>
    <mergeCell ref="G1:I1"/>
    <mergeCell ref="G2:I2"/>
    <mergeCell ref="J1:L1"/>
    <mergeCell ref="J2:L2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55" r:id="rId1"/>
  <headerFooter alignWithMargins="0">
    <oddHeader>&amp;CPSR 2000-2006</oddHeader>
    <oddFooter>&amp;L&amp;P
&amp;N&amp;C&amp;"Arial Narrow,Normale"&amp;10&amp;F&amp;R&amp;A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>
    <tabColor indexed="11"/>
    <pageSetUpPr fitToPage="1"/>
  </sheetPr>
  <dimension ref="A1:U37"/>
  <sheetViews>
    <sheetView showGridLines="0" showZeros="0" workbookViewId="0" topLeftCell="A5">
      <pane xSplit="3" ySplit="3" topLeftCell="J17" activePane="bottomRight" state="frozen"/>
      <selection pane="topLeft" activeCell="C39" sqref="C39"/>
      <selection pane="topRight" activeCell="C39" sqref="C39"/>
      <selection pane="bottomLeft" activeCell="C39" sqref="C39"/>
      <selection pane="bottomRight" activeCell="C39" sqref="C39"/>
    </sheetView>
  </sheetViews>
  <sheetFormatPr defaultColWidth="11.421875" defaultRowHeight="12"/>
  <cols>
    <col min="1" max="1" width="6.421875" style="1" customWidth="1"/>
    <col min="2" max="2" width="6.8515625" style="2" customWidth="1"/>
    <col min="3" max="3" width="28.7109375" style="4" customWidth="1"/>
    <col min="4" max="19" width="11.7109375" style="1" customWidth="1"/>
    <col min="20" max="16384" width="9.140625" style="1" customWidth="1"/>
  </cols>
  <sheetData>
    <row r="1" spans="1:2" ht="12.75">
      <c r="A1" s="3" t="s">
        <v>46</v>
      </c>
      <c r="B1" s="23"/>
    </row>
    <row r="2" spans="1:2" ht="12.75">
      <c r="A2" s="3"/>
      <c r="B2" s="23"/>
    </row>
    <row r="3" spans="1:2" ht="12.75">
      <c r="A3" s="26" t="s">
        <v>51</v>
      </c>
      <c r="B3" s="33"/>
    </row>
    <row r="5" spans="1:19" s="23" customFormat="1" ht="12.75">
      <c r="A5" s="83"/>
      <c r="B5" s="77"/>
      <c r="C5" s="78"/>
      <c r="D5" s="145" t="s">
        <v>6</v>
      </c>
      <c r="E5" s="145"/>
      <c r="F5" s="146" t="s">
        <v>6</v>
      </c>
      <c r="G5" s="145"/>
      <c r="H5" s="146" t="s">
        <v>6</v>
      </c>
      <c r="I5" s="145"/>
      <c r="J5" s="146" t="s">
        <v>6</v>
      </c>
      <c r="K5" s="145"/>
      <c r="L5" s="147" t="s">
        <v>6</v>
      </c>
      <c r="M5" s="148"/>
      <c r="N5" s="147" t="s">
        <v>6</v>
      </c>
      <c r="O5" s="148"/>
      <c r="P5" s="147" t="s">
        <v>6</v>
      </c>
      <c r="Q5" s="149"/>
      <c r="R5" s="148" t="s">
        <v>1</v>
      </c>
      <c r="S5" s="149"/>
    </row>
    <row r="6" spans="1:19" s="2" customFormat="1" ht="12.75">
      <c r="A6" s="79" t="s">
        <v>73</v>
      </c>
      <c r="B6" s="79" t="s">
        <v>75</v>
      </c>
      <c r="C6" s="80" t="s">
        <v>0</v>
      </c>
      <c r="D6" s="150">
        <v>2000</v>
      </c>
      <c r="E6" s="150"/>
      <c r="F6" s="151">
        <v>2001</v>
      </c>
      <c r="G6" s="150"/>
      <c r="H6" s="151">
        <v>2002</v>
      </c>
      <c r="I6" s="150"/>
      <c r="J6" s="151">
        <v>2003</v>
      </c>
      <c r="K6" s="150"/>
      <c r="L6" s="154">
        <v>2004</v>
      </c>
      <c r="M6" s="155"/>
      <c r="N6" s="153">
        <v>2005</v>
      </c>
      <c r="O6" s="153"/>
      <c r="P6" s="154">
        <v>2006</v>
      </c>
      <c r="Q6" s="155"/>
      <c r="R6" s="153"/>
      <c r="S6" s="155"/>
    </row>
    <row r="7" spans="1:19" ht="25.5">
      <c r="A7" s="81" t="s">
        <v>74</v>
      </c>
      <c r="B7" s="81" t="s">
        <v>76</v>
      </c>
      <c r="C7" s="113"/>
      <c r="D7" s="16" t="s">
        <v>2</v>
      </c>
      <c r="E7" s="14" t="s">
        <v>44</v>
      </c>
      <c r="F7" s="14" t="s">
        <v>2</v>
      </c>
      <c r="G7" s="14" t="s">
        <v>44</v>
      </c>
      <c r="H7" s="14" t="s">
        <v>2</v>
      </c>
      <c r="I7" s="14" t="s">
        <v>44</v>
      </c>
      <c r="J7" s="14" t="s">
        <v>2</v>
      </c>
      <c r="K7" s="14" t="s">
        <v>44</v>
      </c>
      <c r="L7" s="85" t="s">
        <v>2</v>
      </c>
      <c r="M7" s="85" t="s">
        <v>44</v>
      </c>
      <c r="N7" s="85" t="s">
        <v>2</v>
      </c>
      <c r="O7" s="85" t="s">
        <v>44</v>
      </c>
      <c r="P7" s="85" t="s">
        <v>2</v>
      </c>
      <c r="Q7" s="85" t="s">
        <v>44</v>
      </c>
      <c r="R7" s="85" t="s">
        <v>2</v>
      </c>
      <c r="S7" s="85" t="s">
        <v>44</v>
      </c>
    </row>
    <row r="8" spans="1:19" ht="22.5">
      <c r="A8" s="114">
        <v>1</v>
      </c>
      <c r="B8" s="86" t="s">
        <v>56</v>
      </c>
      <c r="C8" s="46" t="s">
        <v>14</v>
      </c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21">
        <v>0</v>
      </c>
      <c r="M8" s="121">
        <v>0</v>
      </c>
      <c r="N8" s="121">
        <v>0</v>
      </c>
      <c r="O8" s="121">
        <v>0</v>
      </c>
      <c r="P8" s="121">
        <v>0</v>
      </c>
      <c r="Q8" s="121">
        <v>0</v>
      </c>
      <c r="R8" s="117">
        <f aca="true" t="shared" si="0" ref="R8:S11">+P8+N8+L8+J8+H8+F8+D8</f>
        <v>0</v>
      </c>
      <c r="S8" s="117">
        <f t="shared" si="0"/>
        <v>0</v>
      </c>
    </row>
    <row r="9" spans="1:19" ht="22.5">
      <c r="A9" s="86">
        <v>2</v>
      </c>
      <c r="B9" s="86" t="s">
        <v>57</v>
      </c>
      <c r="C9" s="6" t="s">
        <v>15</v>
      </c>
      <c r="D9" s="116">
        <v>0</v>
      </c>
      <c r="E9" s="116">
        <v>0</v>
      </c>
      <c r="F9" s="116">
        <v>1.305</v>
      </c>
      <c r="G9" s="116">
        <v>1.305</v>
      </c>
      <c r="H9" s="116">
        <v>0.585</v>
      </c>
      <c r="I9" s="116">
        <v>0.585</v>
      </c>
      <c r="J9" s="116">
        <v>2.395</v>
      </c>
      <c r="K9" s="116">
        <f>+J9</f>
        <v>2.395</v>
      </c>
      <c r="L9" s="121">
        <v>0.001</v>
      </c>
      <c r="M9" s="121">
        <f>+L9</f>
        <v>0.001</v>
      </c>
      <c r="N9" s="121">
        <v>0</v>
      </c>
      <c r="O9" s="121">
        <v>0</v>
      </c>
      <c r="P9" s="121">
        <v>0</v>
      </c>
      <c r="Q9" s="121">
        <v>0</v>
      </c>
      <c r="R9" s="117">
        <f t="shared" si="0"/>
        <v>4.286</v>
      </c>
      <c r="S9" s="117">
        <f t="shared" si="0"/>
        <v>4.286</v>
      </c>
    </row>
    <row r="10" spans="1:19" ht="12.75">
      <c r="A10" s="86">
        <v>3</v>
      </c>
      <c r="B10" s="86" t="s">
        <v>58</v>
      </c>
      <c r="C10" s="6" t="s">
        <v>16</v>
      </c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19">
        <f t="shared" si="0"/>
        <v>0</v>
      </c>
      <c r="S10" s="119">
        <f t="shared" si="0"/>
        <v>0</v>
      </c>
    </row>
    <row r="11" spans="1:19" ht="22.5">
      <c r="A11" s="86">
        <v>4</v>
      </c>
      <c r="B11" s="86" t="s">
        <v>59</v>
      </c>
      <c r="C11" s="6" t="s">
        <v>17</v>
      </c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19">
        <f t="shared" si="0"/>
        <v>0</v>
      </c>
      <c r="S11" s="119">
        <f t="shared" si="0"/>
        <v>0</v>
      </c>
    </row>
    <row r="12" spans="1:19" ht="45">
      <c r="A12" s="86" t="s">
        <v>21</v>
      </c>
      <c r="B12" s="86" t="s">
        <v>72</v>
      </c>
      <c r="C12" s="6" t="s">
        <v>39</v>
      </c>
      <c r="D12" s="116"/>
      <c r="E12" s="116"/>
      <c r="F12" s="116"/>
      <c r="G12" s="116"/>
      <c r="H12" s="116"/>
      <c r="I12" s="116"/>
      <c r="J12" s="116"/>
      <c r="K12" s="116"/>
      <c r="L12" s="121"/>
      <c r="M12" s="121"/>
      <c r="N12" s="121"/>
      <c r="O12" s="121"/>
      <c r="P12" s="121"/>
      <c r="Q12" s="121"/>
      <c r="R12" s="117"/>
      <c r="S12" s="117"/>
    </row>
    <row r="13" spans="1:19" ht="16.5" customHeight="1">
      <c r="A13" s="86" t="s">
        <v>22</v>
      </c>
      <c r="B13" s="86"/>
      <c r="C13" s="6" t="s">
        <v>24</v>
      </c>
      <c r="D13" s="116"/>
      <c r="E13" s="116"/>
      <c r="F13" s="116"/>
      <c r="G13" s="116"/>
      <c r="H13" s="116"/>
      <c r="I13" s="116"/>
      <c r="J13" s="116"/>
      <c r="K13" s="116"/>
      <c r="L13" s="121"/>
      <c r="M13" s="121"/>
      <c r="N13" s="121"/>
      <c r="O13" s="121"/>
      <c r="P13" s="121"/>
      <c r="Q13" s="121"/>
      <c r="R13" s="121"/>
      <c r="S13" s="121"/>
    </row>
    <row r="14" spans="1:19" ht="33.75">
      <c r="A14" s="86" t="s">
        <v>23</v>
      </c>
      <c r="B14" s="86"/>
      <c r="C14" s="6" t="s">
        <v>40</v>
      </c>
      <c r="D14" s="116"/>
      <c r="E14" s="116"/>
      <c r="F14" s="116"/>
      <c r="G14" s="116"/>
      <c r="H14" s="116"/>
      <c r="I14" s="116"/>
      <c r="J14" s="116"/>
      <c r="K14" s="116"/>
      <c r="L14" s="121"/>
      <c r="M14" s="121"/>
      <c r="N14" s="121"/>
      <c r="O14" s="121"/>
      <c r="P14" s="121"/>
      <c r="Q14" s="121"/>
      <c r="R14" s="121"/>
      <c r="S14" s="121"/>
    </row>
    <row r="15" spans="1:19" ht="45">
      <c r="A15" s="86" t="s">
        <v>11</v>
      </c>
      <c r="B15" s="86" t="s">
        <v>60</v>
      </c>
      <c r="C15" s="6" t="s">
        <v>18</v>
      </c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f>+P15+N15+L15+J15+H15+F15+D15</f>
        <v>0</v>
      </c>
      <c r="S15" s="121">
        <f>+Q15+O15+M15+K15+I15+G15+E15</f>
        <v>0</v>
      </c>
    </row>
    <row r="16" spans="1:19" ht="56.25">
      <c r="A16" s="86" t="s">
        <v>12</v>
      </c>
      <c r="B16" s="86"/>
      <c r="C16" s="6" t="s">
        <v>19</v>
      </c>
      <c r="D16" s="116"/>
      <c r="E16" s="116"/>
      <c r="F16" s="116"/>
      <c r="G16" s="116"/>
      <c r="H16" s="116"/>
      <c r="I16" s="116"/>
      <c r="J16" s="116"/>
      <c r="K16" s="116"/>
      <c r="L16" s="121"/>
      <c r="M16" s="121"/>
      <c r="N16" s="121"/>
      <c r="O16" s="121"/>
      <c r="P16" s="121"/>
      <c r="Q16" s="121"/>
      <c r="R16" s="121"/>
      <c r="S16" s="121"/>
    </row>
    <row r="17" spans="1:19" ht="67.5">
      <c r="A17" s="86" t="s">
        <v>13</v>
      </c>
      <c r="B17" s="86"/>
      <c r="C17" s="6" t="s">
        <v>20</v>
      </c>
      <c r="D17" s="116"/>
      <c r="E17" s="116"/>
      <c r="F17" s="116"/>
      <c r="G17" s="116"/>
      <c r="H17" s="116"/>
      <c r="I17" s="116"/>
      <c r="J17" s="116"/>
      <c r="K17" s="116"/>
      <c r="L17" s="121"/>
      <c r="M17" s="121"/>
      <c r="N17" s="121"/>
      <c r="O17" s="121"/>
      <c r="P17" s="121"/>
      <c r="Q17" s="121"/>
      <c r="R17" s="121"/>
      <c r="S17" s="121"/>
    </row>
    <row r="18" spans="1:19" ht="33.75">
      <c r="A18" s="86"/>
      <c r="B18" s="86" t="s">
        <v>61</v>
      </c>
      <c r="C18" s="6" t="s">
        <v>7</v>
      </c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21">
        <v>0</v>
      </c>
      <c r="M18" s="121"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f aca="true" t="shared" si="1" ref="R18:S22">+P18+N18+L18+J18+H18+F18+D18</f>
        <v>0</v>
      </c>
      <c r="S18" s="121">
        <f t="shared" si="1"/>
        <v>0</v>
      </c>
    </row>
    <row r="19" spans="1:19" ht="33.75">
      <c r="A19" s="86">
        <v>6</v>
      </c>
      <c r="B19" s="86" t="s">
        <v>66</v>
      </c>
      <c r="C19" s="6" t="s">
        <v>25</v>
      </c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21">
        <v>0</v>
      </c>
      <c r="M19" s="121"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f t="shared" si="1"/>
        <v>0</v>
      </c>
      <c r="S19" s="121">
        <f t="shared" si="1"/>
        <v>0</v>
      </c>
    </row>
    <row r="20" spans="1:19" ht="33.75">
      <c r="A20" s="86">
        <v>7</v>
      </c>
      <c r="B20" s="86" t="s">
        <v>67</v>
      </c>
      <c r="C20" s="6" t="s">
        <v>26</v>
      </c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21">
        <f>+M20/0.8</f>
        <v>0.1375</v>
      </c>
      <c r="M20" s="121">
        <f>0.07+0.04</f>
        <v>0.11000000000000001</v>
      </c>
      <c r="N20" s="121">
        <f>+O20/0.8</f>
        <v>0.08750000000000001</v>
      </c>
      <c r="O20" s="121">
        <v>0.07</v>
      </c>
      <c r="P20" s="121">
        <f>+Q20/0.8</f>
        <v>0.08750000000000001</v>
      </c>
      <c r="Q20" s="121">
        <v>0.07</v>
      </c>
      <c r="R20" s="117">
        <f t="shared" si="1"/>
        <v>0.3125</v>
      </c>
      <c r="S20" s="117">
        <f t="shared" si="1"/>
        <v>0.25</v>
      </c>
    </row>
    <row r="21" spans="1:19" ht="12.75">
      <c r="A21" s="86">
        <v>8</v>
      </c>
      <c r="B21" s="86" t="s">
        <v>62</v>
      </c>
      <c r="C21" s="6" t="s">
        <v>27</v>
      </c>
      <c r="D21" s="116">
        <v>0</v>
      </c>
      <c r="E21" s="116">
        <v>0</v>
      </c>
      <c r="F21" s="116">
        <v>0.065</v>
      </c>
      <c r="G21" s="116">
        <v>0.065</v>
      </c>
      <c r="H21" s="116">
        <v>0.0909</v>
      </c>
      <c r="I21" s="116">
        <v>0.0909</v>
      </c>
      <c r="J21" s="116">
        <v>0.123</v>
      </c>
      <c r="K21" s="116">
        <v>0.123</v>
      </c>
      <c r="L21" s="121">
        <v>0.157</v>
      </c>
      <c r="M21" s="121">
        <v>0.157</v>
      </c>
      <c r="N21" s="121">
        <v>0.157</v>
      </c>
      <c r="O21" s="121">
        <v>0.157</v>
      </c>
      <c r="P21" s="121">
        <f>0.134+0.0231</f>
        <v>0.15710000000000002</v>
      </c>
      <c r="Q21" s="121">
        <f>+P21</f>
        <v>0.15710000000000002</v>
      </c>
      <c r="R21" s="121">
        <f t="shared" si="1"/>
        <v>0.75</v>
      </c>
      <c r="S21" s="121">
        <f t="shared" si="1"/>
        <v>0.75</v>
      </c>
    </row>
    <row r="22" spans="1:19" ht="45">
      <c r="A22" s="86">
        <v>9</v>
      </c>
      <c r="B22" s="86" t="s">
        <v>63</v>
      </c>
      <c r="C22" s="6" t="s">
        <v>28</v>
      </c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21">
        <v>0</v>
      </c>
      <c r="M22" s="121">
        <v>0</v>
      </c>
      <c r="N22" s="121">
        <v>0</v>
      </c>
      <c r="O22" s="121">
        <v>0</v>
      </c>
      <c r="P22" s="121">
        <v>0</v>
      </c>
      <c r="Q22" s="121">
        <v>0</v>
      </c>
      <c r="R22" s="121">
        <f t="shared" si="1"/>
        <v>0</v>
      </c>
      <c r="S22" s="121">
        <f t="shared" si="1"/>
        <v>0</v>
      </c>
    </row>
    <row r="23" spans="1:19" ht="22.5">
      <c r="A23" s="86">
        <v>10</v>
      </c>
      <c r="B23" s="86" t="s">
        <v>68</v>
      </c>
      <c r="C23" s="6" t="s">
        <v>29</v>
      </c>
      <c r="D23" s="116">
        <v>0</v>
      </c>
      <c r="E23" s="116">
        <v>0</v>
      </c>
      <c r="F23" s="116">
        <v>0</v>
      </c>
      <c r="G23" s="116">
        <v>0</v>
      </c>
      <c r="H23" s="116">
        <v>0.100721</v>
      </c>
      <c r="I23" s="116">
        <v>0.0805768</v>
      </c>
      <c r="J23" s="116">
        <v>0</v>
      </c>
      <c r="K23" s="116">
        <v>0</v>
      </c>
      <c r="L23" s="121">
        <v>0.003</v>
      </c>
      <c r="M23" s="121">
        <v>0.0024</v>
      </c>
      <c r="N23" s="121">
        <v>0.041</v>
      </c>
      <c r="O23" s="121">
        <v>0.033</v>
      </c>
      <c r="P23" s="121">
        <v>0.041</v>
      </c>
      <c r="Q23" s="121">
        <f>0.033+0.001</f>
        <v>0.034</v>
      </c>
      <c r="R23" s="121">
        <f>+P23+N23+L23+J23+H23+F23+D23+0.001</f>
        <v>0.18672100000000003</v>
      </c>
      <c r="S23" s="121">
        <f>+Q23+O23+M23+K23+I23+G23+E23</f>
        <v>0.14997680000000002</v>
      </c>
    </row>
    <row r="24" spans="1:19" ht="33.75">
      <c r="A24" s="86">
        <v>11</v>
      </c>
      <c r="B24" s="86" t="s">
        <v>69</v>
      </c>
      <c r="C24" s="6" t="s">
        <v>30</v>
      </c>
      <c r="D24" s="116">
        <v>0</v>
      </c>
      <c r="E24" s="116">
        <v>0</v>
      </c>
      <c r="F24" s="116">
        <v>0</v>
      </c>
      <c r="G24" s="116">
        <v>0</v>
      </c>
      <c r="H24" s="116">
        <v>0.0284905</v>
      </c>
      <c r="I24" s="116">
        <v>0.0227924</v>
      </c>
      <c r="J24" s="116">
        <f>+K24/0.8</f>
        <v>0.8134982999999999</v>
      </c>
      <c r="K24" s="116">
        <f>+'6) Top Up e quota BZ'!J24</f>
        <v>0.65079864</v>
      </c>
      <c r="L24" s="121">
        <f>+M24/0.8+0.001</f>
        <v>2.6975012499999997</v>
      </c>
      <c r="M24" s="121">
        <f>+'6) Top Up e quota BZ'!L24</f>
        <v>2.157201</v>
      </c>
      <c r="N24" s="121">
        <f>0.907+0.2</f>
        <v>1.107</v>
      </c>
      <c r="O24" s="121">
        <f>0.725+0.16</f>
        <v>0.885</v>
      </c>
      <c r="P24" s="121">
        <f>0.966+0.239</f>
        <v>1.205</v>
      </c>
      <c r="Q24" s="121">
        <f>0.772+0.191</f>
        <v>0.9630000000000001</v>
      </c>
      <c r="R24" s="121">
        <f>+P24+N24+L24+J24+H24+F24+D24-0.001</f>
        <v>5.850490049999999</v>
      </c>
      <c r="S24" s="121">
        <f>+Q24+O24+M24+K24+I24+G24+E24+0.001</f>
        <v>4.679792040000001</v>
      </c>
    </row>
    <row r="25" spans="1:19" ht="22.5">
      <c r="A25" s="86">
        <v>12</v>
      </c>
      <c r="B25" s="86" t="s">
        <v>70</v>
      </c>
      <c r="C25" s="6" t="s">
        <v>31</v>
      </c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21">
        <v>0</v>
      </c>
      <c r="M25" s="121">
        <v>0</v>
      </c>
      <c r="N25" s="121">
        <v>0</v>
      </c>
      <c r="O25" s="121">
        <v>0</v>
      </c>
      <c r="P25" s="121">
        <v>0</v>
      </c>
      <c r="Q25" s="117">
        <v>0</v>
      </c>
      <c r="R25" s="117">
        <f aca="true" t="shared" si="2" ref="R25:S28">+P25+N25+L25+J25+H25+F25+D25</f>
        <v>0</v>
      </c>
      <c r="S25" s="117">
        <f t="shared" si="2"/>
        <v>0</v>
      </c>
    </row>
    <row r="26" spans="1:19" s="4" customFormat="1" ht="12.75">
      <c r="A26" s="86">
        <v>13</v>
      </c>
      <c r="B26" s="86" t="s">
        <v>64</v>
      </c>
      <c r="C26" s="6" t="s">
        <v>32</v>
      </c>
      <c r="D26" s="116">
        <v>0</v>
      </c>
      <c r="E26" s="116">
        <v>0</v>
      </c>
      <c r="F26" s="116">
        <f>0.2262497+0.57694377</f>
        <v>0.80319347</v>
      </c>
      <c r="G26" s="116">
        <f>+F26</f>
        <v>0.80319347</v>
      </c>
      <c r="H26" s="116">
        <f>0.23563117+0.4528456</f>
        <v>0.6884767700000001</v>
      </c>
      <c r="I26" s="116">
        <f>+H26</f>
        <v>0.6884767700000001</v>
      </c>
      <c r="J26" s="116">
        <v>0.86476453</v>
      </c>
      <c r="K26" s="116">
        <f>+J26</f>
        <v>0.86476453</v>
      </c>
      <c r="L26" s="117">
        <f>1.1+0.497235</f>
        <v>1.597235</v>
      </c>
      <c r="M26" s="117">
        <f>+L26</f>
        <v>1.597235</v>
      </c>
      <c r="N26" s="117">
        <v>1.1</v>
      </c>
      <c r="O26" s="117">
        <v>1.1</v>
      </c>
      <c r="P26" s="117">
        <v>1.1</v>
      </c>
      <c r="Q26" s="117">
        <v>1.1</v>
      </c>
      <c r="R26" s="117">
        <f t="shared" si="2"/>
        <v>6.1536697700000005</v>
      </c>
      <c r="S26" s="117">
        <f t="shared" si="2"/>
        <v>6.1536697700000005</v>
      </c>
    </row>
    <row r="27" spans="1:19" s="4" customFormat="1" ht="12.75">
      <c r="A27" s="86"/>
      <c r="B27" s="86"/>
      <c r="C27" s="6" t="s">
        <v>5</v>
      </c>
      <c r="D27" s="116">
        <f>0.14899785+0.54940073</f>
        <v>0.69839858</v>
      </c>
      <c r="E27" s="116">
        <f>+D27</f>
        <v>0.69839858</v>
      </c>
      <c r="F27" s="116">
        <f>0.00326916+0.02470733</f>
        <v>0.02797649</v>
      </c>
      <c r="G27" s="116">
        <f>+F27</f>
        <v>0.02797649</v>
      </c>
      <c r="H27" s="116">
        <f>+0.020313</f>
        <v>0.020313</v>
      </c>
      <c r="I27" s="116">
        <f>+H27</f>
        <v>0.020313</v>
      </c>
      <c r="J27" s="116">
        <v>0.028</v>
      </c>
      <c r="K27" s="116">
        <v>0.028</v>
      </c>
      <c r="L27" s="117">
        <v>0.072</v>
      </c>
      <c r="M27" s="117">
        <v>0.072</v>
      </c>
      <c r="N27" s="117">
        <v>0</v>
      </c>
      <c r="O27" s="117">
        <v>0</v>
      </c>
      <c r="P27" s="117">
        <v>0</v>
      </c>
      <c r="Q27" s="117">
        <v>0</v>
      </c>
      <c r="R27" s="117">
        <f t="shared" si="2"/>
        <v>0.84668807</v>
      </c>
      <c r="S27" s="117">
        <f t="shared" si="2"/>
        <v>0.84668807</v>
      </c>
    </row>
    <row r="28" spans="1:20" ht="33.75">
      <c r="A28" s="86">
        <v>14</v>
      </c>
      <c r="B28" s="86" t="s">
        <v>65</v>
      </c>
      <c r="C28" s="6" t="s">
        <v>33</v>
      </c>
      <c r="D28" s="116">
        <v>0</v>
      </c>
      <c r="E28" s="116">
        <v>0</v>
      </c>
      <c r="F28" s="116">
        <v>2.44489879</v>
      </c>
      <c r="G28" s="116">
        <f>+F28</f>
        <v>2.44489879</v>
      </c>
      <c r="H28" s="116">
        <v>1.81330271</v>
      </c>
      <c r="I28" s="116">
        <f>+H28</f>
        <v>1.81330271</v>
      </c>
      <c r="J28" s="116">
        <v>1.28269015</v>
      </c>
      <c r="K28" s="116">
        <f>+J28</f>
        <v>1.28269015</v>
      </c>
      <c r="L28" s="121">
        <f>2.378+0.26231</f>
        <v>2.64031</v>
      </c>
      <c r="M28" s="121">
        <f>+L28</f>
        <v>2.64031</v>
      </c>
      <c r="N28" s="121">
        <v>5.655</v>
      </c>
      <c r="O28" s="121">
        <f>+N28</f>
        <v>5.655</v>
      </c>
      <c r="P28" s="121">
        <v>9.877</v>
      </c>
      <c r="Q28" s="117">
        <f>+P28</f>
        <v>9.877</v>
      </c>
      <c r="R28" s="117">
        <f>+P28+N28+L28+J28+H28+F28+D28</f>
        <v>23.71320165</v>
      </c>
      <c r="S28" s="117">
        <f t="shared" si="2"/>
        <v>23.71320165</v>
      </c>
      <c r="T28" s="52"/>
    </row>
    <row r="29" spans="1:19" ht="56.25">
      <c r="A29" s="86" t="s">
        <v>8</v>
      </c>
      <c r="B29" s="86" t="s">
        <v>71</v>
      </c>
      <c r="C29" s="6" t="s">
        <v>34</v>
      </c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21">
        <v>0</v>
      </c>
      <c r="M29" s="121">
        <v>0</v>
      </c>
      <c r="N29" s="121">
        <v>0</v>
      </c>
      <c r="O29" s="121">
        <v>0</v>
      </c>
      <c r="P29" s="121">
        <v>0</v>
      </c>
      <c r="Q29" s="117">
        <v>0</v>
      </c>
      <c r="R29" s="119">
        <f>+P29+N29+L29+J29+H29+F29+D29</f>
        <v>0</v>
      </c>
      <c r="S29" s="119">
        <f>+Q29+O29+M29+K29+I29+G29+E29</f>
        <v>0</v>
      </c>
    </row>
    <row r="30" spans="1:19" ht="45">
      <c r="A30" s="86" t="s">
        <v>36</v>
      </c>
      <c r="B30" s="86" t="s">
        <v>60</v>
      </c>
      <c r="C30" s="6" t="s">
        <v>35</v>
      </c>
      <c r="D30" s="116">
        <f aca="true" t="shared" si="3" ref="D30:Q30">SUM(D31:D32)</f>
        <v>0</v>
      </c>
      <c r="E30" s="116">
        <f t="shared" si="3"/>
        <v>0</v>
      </c>
      <c r="F30" s="116">
        <f t="shared" si="3"/>
        <v>0</v>
      </c>
      <c r="G30" s="116">
        <f t="shared" si="3"/>
        <v>0</v>
      </c>
      <c r="H30" s="116">
        <f t="shared" si="3"/>
        <v>0</v>
      </c>
      <c r="I30" s="116">
        <f t="shared" si="3"/>
        <v>0</v>
      </c>
      <c r="J30" s="116">
        <f t="shared" si="3"/>
        <v>0</v>
      </c>
      <c r="K30" s="116">
        <f t="shared" si="3"/>
        <v>0</v>
      </c>
      <c r="L30" s="121">
        <f t="shared" si="3"/>
        <v>1.129</v>
      </c>
      <c r="M30" s="121">
        <f t="shared" si="3"/>
        <v>0.9605</v>
      </c>
      <c r="N30" s="121">
        <f t="shared" si="3"/>
        <v>1.252</v>
      </c>
      <c r="O30" s="121">
        <f t="shared" si="3"/>
        <v>1.0655000000000001</v>
      </c>
      <c r="P30" s="121">
        <f t="shared" si="3"/>
        <v>1.384</v>
      </c>
      <c r="Q30" s="117">
        <f t="shared" si="3"/>
        <v>1.178</v>
      </c>
      <c r="R30" s="117">
        <f>+P30+N30+L30+J30+H30+F30+D30-0.002</f>
        <v>3.7630000000000003</v>
      </c>
      <c r="S30" s="117">
        <f>+Q30+O30+M30+K30+I30+G30+E30-0.002</f>
        <v>3.2020000000000004</v>
      </c>
    </row>
    <row r="31" spans="1:19" ht="45">
      <c r="A31" s="86" t="s">
        <v>9</v>
      </c>
      <c r="B31" s="86"/>
      <c r="C31" s="6" t="s">
        <v>38</v>
      </c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21">
        <f>0.591+0.538</f>
        <v>1.129</v>
      </c>
      <c r="M31" s="121">
        <f>0.503+0.4575</f>
        <v>0.9605</v>
      </c>
      <c r="N31" s="121">
        <f>0.714+0.538</f>
        <v>1.252</v>
      </c>
      <c r="O31" s="121">
        <f>0.608+0.4575</f>
        <v>1.0655000000000001</v>
      </c>
      <c r="P31" s="121">
        <f>0.757+0.627</f>
        <v>1.384</v>
      </c>
      <c r="Q31" s="121">
        <f>0.644+0.534</f>
        <v>1.178</v>
      </c>
      <c r="R31" s="121">
        <f>+P31+N31+L31+J31+H31+F31+D31-0.002</f>
        <v>3.7630000000000003</v>
      </c>
      <c r="S31" s="121">
        <f>+Q31+O31+M31+K31+I31+G31+E31-0.002</f>
        <v>3.2020000000000004</v>
      </c>
    </row>
    <row r="32" spans="1:19" ht="22.5">
      <c r="A32" s="86" t="s">
        <v>10</v>
      </c>
      <c r="B32" s="86"/>
      <c r="C32" s="6" t="s">
        <v>37</v>
      </c>
      <c r="D32" s="116"/>
      <c r="E32" s="116"/>
      <c r="F32" s="116"/>
      <c r="G32" s="116"/>
      <c r="H32" s="116"/>
      <c r="I32" s="116"/>
      <c r="J32" s="116"/>
      <c r="K32" s="116"/>
      <c r="L32" s="121"/>
      <c r="M32" s="121"/>
      <c r="N32" s="121"/>
      <c r="O32" s="121"/>
      <c r="P32" s="121"/>
      <c r="Q32" s="121"/>
      <c r="R32" s="121"/>
      <c r="S32" s="121"/>
    </row>
    <row r="33" spans="1:19" s="3" customFormat="1" ht="12.75">
      <c r="A33" s="115"/>
      <c r="B33" s="86"/>
      <c r="C33" s="8" t="s">
        <v>4</v>
      </c>
      <c r="D33" s="116">
        <f aca="true" t="shared" si="4" ref="D33:J33">SUM(D8:D30)</f>
        <v>0.69839858</v>
      </c>
      <c r="E33" s="116">
        <f t="shared" si="4"/>
        <v>0.69839858</v>
      </c>
      <c r="F33" s="116">
        <f t="shared" si="4"/>
        <v>4.6460687499999995</v>
      </c>
      <c r="G33" s="116">
        <f t="shared" si="4"/>
        <v>4.6460687499999995</v>
      </c>
      <c r="H33" s="116">
        <f t="shared" si="4"/>
        <v>3.32720398</v>
      </c>
      <c r="I33" s="116">
        <f t="shared" si="4"/>
        <v>3.3013616800000003</v>
      </c>
      <c r="J33" s="116">
        <f t="shared" si="4"/>
        <v>5.506952979999999</v>
      </c>
      <c r="K33" s="116">
        <f>SUM(K8:K30)+0.001</f>
        <v>5.34525332</v>
      </c>
      <c r="L33" s="122">
        <f aca="true" t="shared" si="5" ref="L33:S33">SUM(L8:L30)</f>
        <v>8.43454625</v>
      </c>
      <c r="M33" s="122">
        <f t="shared" si="5"/>
        <v>7.697646000000001</v>
      </c>
      <c r="N33" s="122">
        <f t="shared" si="5"/>
        <v>9.399500000000002</v>
      </c>
      <c r="O33" s="122">
        <f t="shared" si="5"/>
        <v>8.9655</v>
      </c>
      <c r="P33" s="122">
        <f t="shared" si="5"/>
        <v>13.851600000000001</v>
      </c>
      <c r="Q33" s="122">
        <f t="shared" si="5"/>
        <v>13.379100000000001</v>
      </c>
      <c r="R33" s="122">
        <f>SUM(R8:R30)-0.001</f>
        <v>45.86127053999999</v>
      </c>
      <c r="S33" s="122">
        <f t="shared" si="5"/>
        <v>44.031328329999994</v>
      </c>
    </row>
    <row r="34" spans="2:19" ht="12.75">
      <c r="B34" s="1"/>
      <c r="C34" s="39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2:19" ht="12.75">
      <c r="B35" s="34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52"/>
      <c r="S35" s="7"/>
    </row>
    <row r="36" spans="2:18" ht="12.75">
      <c r="B36" s="35"/>
      <c r="C36" s="25"/>
      <c r="R36" s="52"/>
    </row>
    <row r="37" spans="2:21" ht="12.75">
      <c r="B37" s="3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</sheetData>
  <mergeCells count="16">
    <mergeCell ref="L6:M6"/>
    <mergeCell ref="N6:O6"/>
    <mergeCell ref="P6:Q6"/>
    <mergeCell ref="R6:S6"/>
    <mergeCell ref="D6:E6"/>
    <mergeCell ref="F6:G6"/>
    <mergeCell ref="H6:I6"/>
    <mergeCell ref="J6:K6"/>
    <mergeCell ref="L5:M5"/>
    <mergeCell ref="N5:O5"/>
    <mergeCell ref="P5:Q5"/>
    <mergeCell ref="R5:S5"/>
    <mergeCell ref="D5:E5"/>
    <mergeCell ref="F5:G5"/>
    <mergeCell ref="H5:I5"/>
    <mergeCell ref="J5:K5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62" r:id="rId1"/>
  <headerFooter alignWithMargins="0">
    <oddHeader>&amp;CPSR 2000-2006</oddHeader>
    <oddFooter>&amp;L&amp;P
&amp;N&amp;C&amp;"Arial Narrow,Normale"&amp;10&amp;F&amp;R&amp;A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6">
    <tabColor indexed="11"/>
    <pageSetUpPr fitToPage="1"/>
  </sheetPr>
  <dimension ref="A1:S37"/>
  <sheetViews>
    <sheetView showGridLines="0" showZeros="0" workbookViewId="0" topLeftCell="A5">
      <pane xSplit="3" ySplit="3" topLeftCell="J18" activePane="bottomRight" state="frozen"/>
      <selection pane="topLeft" activeCell="C39" sqref="C39"/>
      <selection pane="topRight" activeCell="C39" sqref="C39"/>
      <selection pane="bottomLeft" activeCell="C39" sqref="C39"/>
      <selection pane="bottomRight" activeCell="C39" sqref="C39"/>
    </sheetView>
  </sheetViews>
  <sheetFormatPr defaultColWidth="11.421875" defaultRowHeight="12"/>
  <cols>
    <col min="1" max="1" width="6.421875" style="1" customWidth="1"/>
    <col min="2" max="2" width="6.8515625" style="2" customWidth="1"/>
    <col min="3" max="3" width="28.7109375" style="4" customWidth="1"/>
    <col min="4" max="19" width="11.7109375" style="1" customWidth="1"/>
    <col min="20" max="16384" width="9.140625" style="1" customWidth="1"/>
  </cols>
  <sheetData>
    <row r="1" spans="1:2" ht="12.75">
      <c r="A1" s="3" t="s">
        <v>46</v>
      </c>
      <c r="B1" s="23"/>
    </row>
    <row r="2" spans="1:2" ht="12.75">
      <c r="A2" s="3"/>
      <c r="B2" s="23"/>
    </row>
    <row r="3" spans="1:2" ht="12.75">
      <c r="A3" s="26" t="s">
        <v>52</v>
      </c>
      <c r="B3" s="33"/>
    </row>
    <row r="5" spans="1:19" s="23" customFormat="1" ht="12.75">
      <c r="A5" s="83"/>
      <c r="B5" s="77"/>
      <c r="C5" s="78"/>
      <c r="D5" s="145" t="s">
        <v>6</v>
      </c>
      <c r="E5" s="145"/>
      <c r="F5" s="146" t="s">
        <v>6</v>
      </c>
      <c r="G5" s="145"/>
      <c r="H5" s="146" t="s">
        <v>6</v>
      </c>
      <c r="I5" s="145"/>
      <c r="J5" s="146" t="s">
        <v>6</v>
      </c>
      <c r="K5" s="145"/>
      <c r="L5" s="147" t="s">
        <v>6</v>
      </c>
      <c r="M5" s="148"/>
      <c r="N5" s="147" t="s">
        <v>6</v>
      </c>
      <c r="O5" s="148"/>
      <c r="P5" s="147" t="s">
        <v>6</v>
      </c>
      <c r="Q5" s="149"/>
      <c r="R5" s="148" t="s">
        <v>1</v>
      </c>
      <c r="S5" s="149"/>
    </row>
    <row r="6" spans="1:19" s="2" customFormat="1" ht="12.75">
      <c r="A6" s="79" t="s">
        <v>73</v>
      </c>
      <c r="B6" s="79" t="s">
        <v>75</v>
      </c>
      <c r="C6" s="80" t="s">
        <v>0</v>
      </c>
      <c r="D6" s="150">
        <v>2000</v>
      </c>
      <c r="E6" s="150"/>
      <c r="F6" s="151">
        <v>2001</v>
      </c>
      <c r="G6" s="150"/>
      <c r="H6" s="151">
        <v>2002</v>
      </c>
      <c r="I6" s="150"/>
      <c r="J6" s="151">
        <v>2003</v>
      </c>
      <c r="K6" s="150"/>
      <c r="L6" s="154">
        <v>2004</v>
      </c>
      <c r="M6" s="155"/>
      <c r="N6" s="153">
        <v>2005</v>
      </c>
      <c r="O6" s="153"/>
      <c r="P6" s="154">
        <v>2006</v>
      </c>
      <c r="Q6" s="155"/>
      <c r="R6" s="153"/>
      <c r="S6" s="155"/>
    </row>
    <row r="7" spans="1:19" ht="38.25">
      <c r="A7" s="81" t="s">
        <v>74</v>
      </c>
      <c r="B7" s="81" t="s">
        <v>76</v>
      </c>
      <c r="C7" s="113"/>
      <c r="D7" s="16" t="s">
        <v>41</v>
      </c>
      <c r="E7" s="14" t="s">
        <v>44</v>
      </c>
      <c r="F7" s="16" t="s">
        <v>41</v>
      </c>
      <c r="G7" s="14" t="s">
        <v>44</v>
      </c>
      <c r="H7" s="16" t="s">
        <v>41</v>
      </c>
      <c r="I7" s="14" t="s">
        <v>44</v>
      </c>
      <c r="J7" s="16" t="s">
        <v>41</v>
      </c>
      <c r="K7" s="14" t="s">
        <v>44</v>
      </c>
      <c r="L7" s="84" t="s">
        <v>41</v>
      </c>
      <c r="M7" s="85" t="s">
        <v>44</v>
      </c>
      <c r="N7" s="84" t="s">
        <v>41</v>
      </c>
      <c r="O7" s="85" t="s">
        <v>44</v>
      </c>
      <c r="P7" s="84" t="s">
        <v>41</v>
      </c>
      <c r="Q7" s="85" t="s">
        <v>44</v>
      </c>
      <c r="R7" s="84" t="s">
        <v>41</v>
      </c>
      <c r="S7" s="85" t="s">
        <v>44</v>
      </c>
    </row>
    <row r="8" spans="1:19" ht="22.5">
      <c r="A8" s="114">
        <v>1</v>
      </c>
      <c r="B8" s="86" t="s">
        <v>56</v>
      </c>
      <c r="C8" s="46" t="s">
        <v>14</v>
      </c>
      <c r="D8" s="123">
        <v>0</v>
      </c>
      <c r="E8" s="123">
        <v>0</v>
      </c>
      <c r="F8" s="123">
        <v>0</v>
      </c>
      <c r="G8" s="123">
        <v>0</v>
      </c>
      <c r="H8" s="116">
        <v>0</v>
      </c>
      <c r="I8" s="116">
        <v>0</v>
      </c>
      <c r="J8" s="116">
        <v>0</v>
      </c>
      <c r="K8" s="116">
        <v>0</v>
      </c>
      <c r="L8" s="121">
        <v>0</v>
      </c>
      <c r="M8" s="121">
        <v>0</v>
      </c>
      <c r="N8" s="121">
        <v>0</v>
      </c>
      <c r="O8" s="121">
        <v>0</v>
      </c>
      <c r="P8" s="121">
        <v>0</v>
      </c>
      <c r="Q8" s="121">
        <v>0</v>
      </c>
      <c r="R8" s="121">
        <f aca="true" t="shared" si="0" ref="R8:S10">+P8+N8+L8+J8+H8+F8+D8</f>
        <v>0</v>
      </c>
      <c r="S8" s="121">
        <f t="shared" si="0"/>
        <v>0</v>
      </c>
    </row>
    <row r="9" spans="1:19" ht="22.5">
      <c r="A9" s="86">
        <v>2</v>
      </c>
      <c r="B9" s="86" t="s">
        <v>57</v>
      </c>
      <c r="C9" s="6" t="s">
        <v>15</v>
      </c>
      <c r="D9" s="116">
        <v>0</v>
      </c>
      <c r="E9" s="116">
        <v>0</v>
      </c>
      <c r="F9" s="116">
        <v>1.305</v>
      </c>
      <c r="G9" s="116">
        <v>1.305</v>
      </c>
      <c r="H9" s="116">
        <v>0.585</v>
      </c>
      <c r="I9" s="116">
        <v>0.585</v>
      </c>
      <c r="J9" s="116">
        <v>2.395</v>
      </c>
      <c r="K9" s="116">
        <f>+J9</f>
        <v>2.395</v>
      </c>
      <c r="L9" s="121">
        <v>0.001</v>
      </c>
      <c r="M9" s="121">
        <f>+L9</f>
        <v>0.001</v>
      </c>
      <c r="N9" s="121">
        <v>0</v>
      </c>
      <c r="O9" s="121">
        <f>+N9</f>
        <v>0</v>
      </c>
      <c r="P9" s="121">
        <v>0</v>
      </c>
      <c r="Q9" s="121">
        <f>+P9</f>
        <v>0</v>
      </c>
      <c r="R9" s="121">
        <f t="shared" si="0"/>
        <v>4.286</v>
      </c>
      <c r="S9" s="121">
        <f t="shared" si="0"/>
        <v>4.286</v>
      </c>
    </row>
    <row r="10" spans="1:19" ht="12.75">
      <c r="A10" s="86">
        <v>3</v>
      </c>
      <c r="B10" s="86" t="s">
        <v>58</v>
      </c>
      <c r="C10" s="6" t="s">
        <v>16</v>
      </c>
      <c r="D10" s="123">
        <v>0</v>
      </c>
      <c r="E10" s="123">
        <v>0</v>
      </c>
      <c r="F10" s="123">
        <v>0</v>
      </c>
      <c r="G10" s="123">
        <v>0</v>
      </c>
      <c r="H10" s="116">
        <v>0</v>
      </c>
      <c r="I10" s="116">
        <v>0</v>
      </c>
      <c r="J10" s="116">
        <v>0</v>
      </c>
      <c r="K10" s="116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f t="shared" si="0"/>
        <v>0</v>
      </c>
      <c r="S10" s="121">
        <f t="shared" si="0"/>
        <v>0</v>
      </c>
    </row>
    <row r="11" spans="1:19" ht="22.5">
      <c r="A11" s="86">
        <v>4</v>
      </c>
      <c r="B11" s="86" t="s">
        <v>59</v>
      </c>
      <c r="C11" s="6" t="s">
        <v>17</v>
      </c>
      <c r="D11" s="123">
        <v>0</v>
      </c>
      <c r="E11" s="123">
        <v>0</v>
      </c>
      <c r="F11" s="123">
        <v>0</v>
      </c>
      <c r="G11" s="123">
        <v>0</v>
      </c>
      <c r="H11" s="116">
        <v>0</v>
      </c>
      <c r="I11" s="116">
        <v>0</v>
      </c>
      <c r="J11" s="116">
        <v>0</v>
      </c>
      <c r="K11" s="116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</row>
    <row r="12" spans="1:19" ht="45">
      <c r="A12" s="86" t="s">
        <v>21</v>
      </c>
      <c r="B12" s="86" t="s">
        <v>72</v>
      </c>
      <c r="C12" s="6" t="s">
        <v>39</v>
      </c>
      <c r="D12" s="123"/>
      <c r="E12" s="123"/>
      <c r="F12" s="123"/>
      <c r="G12" s="123"/>
      <c r="H12" s="116"/>
      <c r="I12" s="116"/>
      <c r="J12" s="116"/>
      <c r="K12" s="116"/>
      <c r="L12" s="121"/>
      <c r="M12" s="121"/>
      <c r="N12" s="121"/>
      <c r="O12" s="121"/>
      <c r="P12" s="121"/>
      <c r="Q12" s="121"/>
      <c r="R12" s="121"/>
      <c r="S12" s="121"/>
    </row>
    <row r="13" spans="1:19" ht="16.5" customHeight="1">
      <c r="A13" s="86" t="s">
        <v>22</v>
      </c>
      <c r="B13" s="86"/>
      <c r="C13" s="6" t="s">
        <v>24</v>
      </c>
      <c r="D13" s="123"/>
      <c r="E13" s="123"/>
      <c r="F13" s="123"/>
      <c r="G13" s="123"/>
      <c r="H13" s="116"/>
      <c r="I13" s="116"/>
      <c r="J13" s="116"/>
      <c r="K13" s="116"/>
      <c r="L13" s="121"/>
      <c r="M13" s="121"/>
      <c r="N13" s="121"/>
      <c r="O13" s="121"/>
      <c r="P13" s="121"/>
      <c r="Q13" s="121"/>
      <c r="R13" s="121"/>
      <c r="S13" s="121"/>
    </row>
    <row r="14" spans="1:19" ht="33.75">
      <c r="A14" s="86" t="s">
        <v>23</v>
      </c>
      <c r="B14" s="86"/>
      <c r="C14" s="6" t="s">
        <v>40</v>
      </c>
      <c r="D14" s="123"/>
      <c r="E14" s="123"/>
      <c r="F14" s="123"/>
      <c r="G14" s="123"/>
      <c r="H14" s="116"/>
      <c r="I14" s="116"/>
      <c r="J14" s="116"/>
      <c r="K14" s="116"/>
      <c r="L14" s="121"/>
      <c r="M14" s="121"/>
      <c r="N14" s="121"/>
      <c r="O14" s="121"/>
      <c r="P14" s="121"/>
      <c r="Q14" s="121"/>
      <c r="R14" s="121"/>
      <c r="S14" s="121"/>
    </row>
    <row r="15" spans="1:19" ht="45">
      <c r="A15" s="86" t="s">
        <v>11</v>
      </c>
      <c r="B15" s="86" t="s">
        <v>60</v>
      </c>
      <c r="C15" s="6" t="s">
        <v>18</v>
      </c>
      <c r="D15" s="123">
        <v>0</v>
      </c>
      <c r="E15" s="123">
        <v>0</v>
      </c>
      <c r="F15" s="123">
        <v>0</v>
      </c>
      <c r="G15" s="123">
        <v>0</v>
      </c>
      <c r="H15" s="116">
        <v>0</v>
      </c>
      <c r="I15" s="116">
        <v>0</v>
      </c>
      <c r="J15" s="116">
        <v>0</v>
      </c>
      <c r="K15" s="116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f>+P15+N15+L15+J15+H15+F15+D15</f>
        <v>0</v>
      </c>
      <c r="S15" s="121">
        <f>+Q15+O15+M15+K15+I15+G15+E15</f>
        <v>0</v>
      </c>
    </row>
    <row r="16" spans="1:19" ht="56.25">
      <c r="A16" s="86" t="s">
        <v>12</v>
      </c>
      <c r="B16" s="86"/>
      <c r="C16" s="6" t="s">
        <v>19</v>
      </c>
      <c r="D16" s="123"/>
      <c r="E16" s="123"/>
      <c r="F16" s="123"/>
      <c r="G16" s="123"/>
      <c r="H16" s="116"/>
      <c r="I16" s="116"/>
      <c r="J16" s="116"/>
      <c r="K16" s="116"/>
      <c r="L16" s="121"/>
      <c r="M16" s="121"/>
      <c r="N16" s="121"/>
      <c r="O16" s="121"/>
      <c r="P16" s="121"/>
      <c r="Q16" s="121"/>
      <c r="R16" s="121"/>
      <c r="S16" s="121"/>
    </row>
    <row r="17" spans="1:19" ht="67.5">
      <c r="A17" s="86" t="s">
        <v>13</v>
      </c>
      <c r="B17" s="86"/>
      <c r="C17" s="6" t="s">
        <v>20</v>
      </c>
      <c r="D17" s="123"/>
      <c r="E17" s="123"/>
      <c r="F17" s="123"/>
      <c r="G17" s="123"/>
      <c r="H17" s="116"/>
      <c r="I17" s="116"/>
      <c r="J17" s="116"/>
      <c r="K17" s="116"/>
      <c r="L17" s="121"/>
      <c r="M17" s="121"/>
      <c r="N17" s="121"/>
      <c r="O17" s="121"/>
      <c r="P17" s="121"/>
      <c r="Q17" s="121"/>
      <c r="R17" s="121"/>
      <c r="S17" s="121"/>
    </row>
    <row r="18" spans="1:19" ht="33.75">
      <c r="A18" s="86"/>
      <c r="B18" s="86" t="s">
        <v>61</v>
      </c>
      <c r="C18" s="6" t="s">
        <v>7</v>
      </c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21">
        <v>0</v>
      </c>
      <c r="M18" s="121"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f aca="true" t="shared" si="1" ref="R18:S23">+P18+N18+L18+J18+H18+F18+D18</f>
        <v>0</v>
      </c>
      <c r="S18" s="121">
        <f t="shared" si="1"/>
        <v>0</v>
      </c>
    </row>
    <row r="19" spans="1:19" ht="33.75">
      <c r="A19" s="86">
        <v>6</v>
      </c>
      <c r="B19" s="86" t="s">
        <v>66</v>
      </c>
      <c r="C19" s="6" t="s">
        <v>25</v>
      </c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21">
        <v>0</v>
      </c>
      <c r="M19" s="121"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f t="shared" si="1"/>
        <v>0</v>
      </c>
      <c r="S19" s="121">
        <f t="shared" si="1"/>
        <v>0</v>
      </c>
    </row>
    <row r="20" spans="1:19" ht="33.75">
      <c r="A20" s="86">
        <v>7</v>
      </c>
      <c r="B20" s="86" t="s">
        <v>67</v>
      </c>
      <c r="C20" s="6" t="s">
        <v>26</v>
      </c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21">
        <v>0.11</v>
      </c>
      <c r="M20" s="121">
        <f>+L20</f>
        <v>0.11</v>
      </c>
      <c r="N20" s="121">
        <f>0.028+0.042</f>
        <v>0.07</v>
      </c>
      <c r="O20" s="121">
        <f>+N20</f>
        <v>0.07</v>
      </c>
      <c r="P20" s="121">
        <f>0.028+0.042</f>
        <v>0.07</v>
      </c>
      <c r="Q20" s="121">
        <f>+P20</f>
        <v>0.07</v>
      </c>
      <c r="R20" s="121">
        <f t="shared" si="1"/>
        <v>0.25</v>
      </c>
      <c r="S20" s="121">
        <f t="shared" si="1"/>
        <v>0.25</v>
      </c>
    </row>
    <row r="21" spans="1:19" ht="12.75">
      <c r="A21" s="86">
        <v>8</v>
      </c>
      <c r="B21" s="86" t="s">
        <v>62</v>
      </c>
      <c r="C21" s="6" t="s">
        <v>27</v>
      </c>
      <c r="D21" s="116">
        <v>0</v>
      </c>
      <c r="E21" s="116">
        <v>0</v>
      </c>
      <c r="F21" s="116">
        <v>0.065</v>
      </c>
      <c r="G21" s="116">
        <v>0.065</v>
      </c>
      <c r="H21" s="116">
        <v>0.0909</v>
      </c>
      <c r="I21" s="116">
        <v>0.0909</v>
      </c>
      <c r="J21" s="116">
        <v>0.123</v>
      </c>
      <c r="K21" s="116">
        <f>+J21</f>
        <v>0.123</v>
      </c>
      <c r="L21" s="121">
        <v>0.157</v>
      </c>
      <c r="M21" s="121">
        <f>+L21</f>
        <v>0.157</v>
      </c>
      <c r="N21" s="121">
        <v>0.157</v>
      </c>
      <c r="O21" s="121">
        <f>+N21</f>
        <v>0.157</v>
      </c>
      <c r="P21" s="121">
        <v>0.1571</v>
      </c>
      <c r="Q21" s="121">
        <f>+P21</f>
        <v>0.1571</v>
      </c>
      <c r="R21" s="121">
        <f t="shared" si="1"/>
        <v>0.75</v>
      </c>
      <c r="S21" s="121">
        <f t="shared" si="1"/>
        <v>0.75</v>
      </c>
    </row>
    <row r="22" spans="1:19" ht="45">
      <c r="A22" s="86">
        <v>9</v>
      </c>
      <c r="B22" s="86" t="s">
        <v>63</v>
      </c>
      <c r="C22" s="6" t="s">
        <v>28</v>
      </c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21">
        <v>0</v>
      </c>
      <c r="M22" s="121">
        <v>0</v>
      </c>
      <c r="N22" s="121">
        <v>0</v>
      </c>
      <c r="O22" s="121">
        <v>0</v>
      </c>
      <c r="P22" s="121">
        <v>0</v>
      </c>
      <c r="Q22" s="121">
        <v>0</v>
      </c>
      <c r="R22" s="121">
        <f t="shared" si="1"/>
        <v>0</v>
      </c>
      <c r="S22" s="121">
        <f t="shared" si="1"/>
        <v>0</v>
      </c>
    </row>
    <row r="23" spans="1:19" ht="22.5">
      <c r="A23" s="86">
        <v>10</v>
      </c>
      <c r="B23" s="86" t="s">
        <v>68</v>
      </c>
      <c r="C23" s="6" t="s">
        <v>29</v>
      </c>
      <c r="D23" s="116">
        <v>0</v>
      </c>
      <c r="E23" s="116">
        <v>0</v>
      </c>
      <c r="F23" s="116">
        <v>0</v>
      </c>
      <c r="G23" s="116">
        <v>0</v>
      </c>
      <c r="H23" s="116">
        <v>0.0805768</v>
      </c>
      <c r="I23" s="116">
        <v>0.0805768</v>
      </c>
      <c r="J23" s="116">
        <v>0</v>
      </c>
      <c r="K23" s="116">
        <v>0</v>
      </c>
      <c r="L23" s="121">
        <v>0.0024</v>
      </c>
      <c r="M23" s="121">
        <v>0.0024</v>
      </c>
      <c r="N23" s="121">
        <v>0.033</v>
      </c>
      <c r="O23" s="121">
        <v>0.033</v>
      </c>
      <c r="P23" s="121">
        <v>0.034</v>
      </c>
      <c r="Q23" s="121">
        <v>0.034</v>
      </c>
      <c r="R23" s="121">
        <f t="shared" si="1"/>
        <v>0.14997680000000002</v>
      </c>
      <c r="S23" s="121">
        <f t="shared" si="1"/>
        <v>0.14997680000000002</v>
      </c>
    </row>
    <row r="24" spans="1:19" ht="33.75">
      <c r="A24" s="86">
        <v>11</v>
      </c>
      <c r="B24" s="86" t="s">
        <v>69</v>
      </c>
      <c r="C24" s="6" t="s">
        <v>30</v>
      </c>
      <c r="D24" s="116">
        <v>0</v>
      </c>
      <c r="E24" s="116">
        <v>0</v>
      </c>
      <c r="F24" s="116">
        <v>0</v>
      </c>
      <c r="G24" s="116">
        <v>0</v>
      </c>
      <c r="H24" s="116">
        <v>0.0227924</v>
      </c>
      <c r="I24" s="116">
        <v>0.0227924</v>
      </c>
      <c r="J24" s="116">
        <v>0.65079864</v>
      </c>
      <c r="K24" s="116">
        <f>+J24</f>
        <v>0.65079864</v>
      </c>
      <c r="L24" s="121">
        <f>0.959+1.198201</f>
        <v>2.157201</v>
      </c>
      <c r="M24" s="121">
        <f>+L24</f>
        <v>2.157201</v>
      </c>
      <c r="N24" s="121">
        <f>0.725+0.16</f>
        <v>0.885</v>
      </c>
      <c r="O24" s="121">
        <f>0.725+0.16</f>
        <v>0.885</v>
      </c>
      <c r="P24" s="121">
        <f>0.772+0.191</f>
        <v>0.9630000000000001</v>
      </c>
      <c r="Q24" s="121">
        <f>0.772+0.191</f>
        <v>0.9630000000000001</v>
      </c>
      <c r="R24" s="121">
        <f>+P24+N24+L24+J24+H24+F24+D24+0.001</f>
        <v>4.679792040000001</v>
      </c>
      <c r="S24" s="121">
        <f>+Q24+O24+M24+K24+I24+G24+E24+0.001</f>
        <v>4.679792040000001</v>
      </c>
    </row>
    <row r="25" spans="1:19" ht="22.5">
      <c r="A25" s="86">
        <v>12</v>
      </c>
      <c r="B25" s="86" t="s">
        <v>70</v>
      </c>
      <c r="C25" s="6" t="s">
        <v>31</v>
      </c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21">
        <v>0</v>
      </c>
      <c r="M25" s="121"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f aca="true" t="shared" si="2" ref="R25:S28">+P25+N25+L25+J25+H25+F25+D25</f>
        <v>0</v>
      </c>
      <c r="S25" s="121">
        <f t="shared" si="2"/>
        <v>0</v>
      </c>
    </row>
    <row r="26" spans="1:19" s="4" customFormat="1" ht="12.75">
      <c r="A26" s="86">
        <v>13</v>
      </c>
      <c r="B26" s="86" t="s">
        <v>64</v>
      </c>
      <c r="C26" s="6" t="s">
        <v>32</v>
      </c>
      <c r="D26" s="116">
        <v>0</v>
      </c>
      <c r="E26" s="116">
        <v>0</v>
      </c>
      <c r="F26" s="116">
        <f>0.2262497+0.57694377</f>
        <v>0.80319347</v>
      </c>
      <c r="G26" s="116">
        <f>+F26</f>
        <v>0.80319347</v>
      </c>
      <c r="H26" s="116">
        <f>0.23563117+0.4528456</f>
        <v>0.6884767700000001</v>
      </c>
      <c r="I26" s="116">
        <f>+H26</f>
        <v>0.6884767700000001</v>
      </c>
      <c r="J26" s="116">
        <f>+'5) Top Up e costi totali'!J26</f>
        <v>0.86476453</v>
      </c>
      <c r="K26" s="116">
        <f>+J26</f>
        <v>0.86476453</v>
      </c>
      <c r="L26" s="117">
        <f>+'5) Top Up e costi totali'!L26</f>
        <v>1.597235</v>
      </c>
      <c r="M26" s="117">
        <f>+L26</f>
        <v>1.597235</v>
      </c>
      <c r="N26" s="117">
        <v>1.1</v>
      </c>
      <c r="O26" s="117">
        <v>1.1</v>
      </c>
      <c r="P26" s="117">
        <v>1.1</v>
      </c>
      <c r="Q26" s="117">
        <v>1.1</v>
      </c>
      <c r="R26" s="121">
        <f t="shared" si="2"/>
        <v>6.1536697700000005</v>
      </c>
      <c r="S26" s="121">
        <f t="shared" si="2"/>
        <v>6.1536697700000005</v>
      </c>
    </row>
    <row r="27" spans="1:19" s="4" customFormat="1" ht="12.75">
      <c r="A27" s="86"/>
      <c r="B27" s="86"/>
      <c r="C27" s="6" t="s">
        <v>5</v>
      </c>
      <c r="D27" s="116">
        <f>0.14899785+0.54940073</f>
        <v>0.69839858</v>
      </c>
      <c r="E27" s="116">
        <f>+D27</f>
        <v>0.69839858</v>
      </c>
      <c r="F27" s="116">
        <f>0.00326916+0.02470733</f>
        <v>0.02797649</v>
      </c>
      <c r="G27" s="116">
        <f>+F27</f>
        <v>0.02797649</v>
      </c>
      <c r="H27" s="116">
        <f>+0.020313</f>
        <v>0.020313</v>
      </c>
      <c r="I27" s="116">
        <f>+H27</f>
        <v>0.020313</v>
      </c>
      <c r="J27" s="116">
        <v>0.028</v>
      </c>
      <c r="K27" s="116">
        <v>0.028</v>
      </c>
      <c r="L27" s="117">
        <v>0.072</v>
      </c>
      <c r="M27" s="117">
        <v>0.072</v>
      </c>
      <c r="N27" s="117">
        <v>0</v>
      </c>
      <c r="O27" s="117">
        <v>0</v>
      </c>
      <c r="P27" s="117">
        <v>0</v>
      </c>
      <c r="Q27" s="117">
        <v>0</v>
      </c>
      <c r="R27" s="121">
        <f t="shared" si="2"/>
        <v>0.84668807</v>
      </c>
      <c r="S27" s="121">
        <f t="shared" si="2"/>
        <v>0.84668807</v>
      </c>
    </row>
    <row r="28" spans="1:19" ht="33.75">
      <c r="A28" s="86">
        <v>14</v>
      </c>
      <c r="B28" s="86" t="s">
        <v>65</v>
      </c>
      <c r="C28" s="6" t="s">
        <v>33</v>
      </c>
      <c r="D28" s="116">
        <v>0</v>
      </c>
      <c r="E28" s="116">
        <v>0</v>
      </c>
      <c r="F28" s="116">
        <v>2.44489879</v>
      </c>
      <c r="G28" s="116">
        <f>+F28</f>
        <v>2.44489879</v>
      </c>
      <c r="H28" s="116">
        <v>1.81330271</v>
      </c>
      <c r="I28" s="116">
        <f>+H28</f>
        <v>1.81330271</v>
      </c>
      <c r="J28" s="116">
        <v>1.28269015</v>
      </c>
      <c r="K28" s="116">
        <f>+J28</f>
        <v>1.28269015</v>
      </c>
      <c r="L28" s="121">
        <f>+'5) Top Up e costi totali'!L28</f>
        <v>2.64031</v>
      </c>
      <c r="M28" s="121">
        <f>+L28</f>
        <v>2.64031</v>
      </c>
      <c r="N28" s="121">
        <v>5.655</v>
      </c>
      <c r="O28" s="121">
        <f>+N28</f>
        <v>5.655</v>
      </c>
      <c r="P28" s="121">
        <v>9.877</v>
      </c>
      <c r="Q28" s="121">
        <f>+P28</f>
        <v>9.877</v>
      </c>
      <c r="R28" s="121">
        <f t="shared" si="2"/>
        <v>23.71320165</v>
      </c>
      <c r="S28" s="121">
        <f t="shared" si="2"/>
        <v>23.71320165</v>
      </c>
    </row>
    <row r="29" spans="1:19" ht="56.25">
      <c r="A29" s="86" t="s">
        <v>8</v>
      </c>
      <c r="B29" s="86" t="s">
        <v>71</v>
      </c>
      <c r="C29" s="6" t="s">
        <v>34</v>
      </c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21">
        <v>0</v>
      </c>
      <c r="M29" s="121"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v>0</v>
      </c>
      <c r="S29" s="121">
        <v>0</v>
      </c>
    </row>
    <row r="30" spans="1:19" ht="45">
      <c r="A30" s="86" t="s">
        <v>36</v>
      </c>
      <c r="B30" s="86" t="s">
        <v>60</v>
      </c>
      <c r="C30" s="6" t="s">
        <v>35</v>
      </c>
      <c r="D30" s="116">
        <f aca="true" t="shared" si="3" ref="D30:Q30">SUM(D31:D32)</f>
        <v>0</v>
      </c>
      <c r="E30" s="116">
        <f t="shared" si="3"/>
        <v>0</v>
      </c>
      <c r="F30" s="116">
        <f t="shared" si="3"/>
        <v>0</v>
      </c>
      <c r="G30" s="116">
        <f t="shared" si="3"/>
        <v>0</v>
      </c>
      <c r="H30" s="116">
        <f t="shared" si="3"/>
        <v>0</v>
      </c>
      <c r="I30" s="116">
        <f t="shared" si="3"/>
        <v>0</v>
      </c>
      <c r="J30" s="116">
        <f t="shared" si="3"/>
        <v>0</v>
      </c>
      <c r="K30" s="116">
        <f t="shared" si="3"/>
        <v>0</v>
      </c>
      <c r="L30" s="121">
        <f t="shared" si="3"/>
        <v>0.9605</v>
      </c>
      <c r="M30" s="121">
        <f t="shared" si="3"/>
        <v>0.9605</v>
      </c>
      <c r="N30" s="121">
        <f t="shared" si="3"/>
        <v>1.0655000000000001</v>
      </c>
      <c r="O30" s="121">
        <f t="shared" si="3"/>
        <v>1.0655000000000001</v>
      </c>
      <c r="P30" s="121">
        <f t="shared" si="3"/>
        <v>1.178</v>
      </c>
      <c r="Q30" s="121">
        <f t="shared" si="3"/>
        <v>1.178</v>
      </c>
      <c r="R30" s="121">
        <f>+P30+N30+L30+J30+H30+F30+D30-0.002</f>
        <v>3.2020000000000004</v>
      </c>
      <c r="S30" s="121">
        <f>+Q30+O30+M30+K30+I30+G30+E30-0.002</f>
        <v>3.2020000000000004</v>
      </c>
    </row>
    <row r="31" spans="1:19" ht="45">
      <c r="A31" s="86" t="s">
        <v>9</v>
      </c>
      <c r="B31" s="86"/>
      <c r="C31" s="6" t="s">
        <v>38</v>
      </c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21">
        <f>0.503+0.4575</f>
        <v>0.9605</v>
      </c>
      <c r="M31" s="121">
        <f>+L31</f>
        <v>0.9605</v>
      </c>
      <c r="N31" s="121">
        <f>0.608+0.4575</f>
        <v>1.0655000000000001</v>
      </c>
      <c r="O31" s="121">
        <f>+N31</f>
        <v>1.0655000000000001</v>
      </c>
      <c r="P31" s="121">
        <f>0.644+0.534</f>
        <v>1.178</v>
      </c>
      <c r="Q31" s="121">
        <f>0.644+0.534</f>
        <v>1.178</v>
      </c>
      <c r="R31" s="121">
        <f>+P31+N31+L31+J31+H31+F31+D31-0.002</f>
        <v>3.2020000000000004</v>
      </c>
      <c r="S31" s="121">
        <f>+Q31+O31+M31+K31+I31+G31+E31-0.002</f>
        <v>3.2020000000000004</v>
      </c>
    </row>
    <row r="32" spans="1:19" ht="22.5">
      <c r="A32" s="86" t="s">
        <v>10</v>
      </c>
      <c r="B32" s="86"/>
      <c r="C32" s="6" t="s">
        <v>37</v>
      </c>
      <c r="D32" s="116"/>
      <c r="E32" s="116"/>
      <c r="F32" s="116"/>
      <c r="G32" s="116"/>
      <c r="H32" s="116"/>
      <c r="I32" s="116"/>
      <c r="J32" s="116"/>
      <c r="K32" s="116"/>
      <c r="L32" s="121"/>
      <c r="M32" s="121"/>
      <c r="N32" s="121"/>
      <c r="O32" s="121"/>
      <c r="P32" s="121"/>
      <c r="Q32" s="121"/>
      <c r="R32" s="121"/>
      <c r="S32" s="121"/>
    </row>
    <row r="33" spans="1:19" s="3" customFormat="1" ht="12.75">
      <c r="A33" s="115"/>
      <c r="B33" s="86"/>
      <c r="C33" s="37" t="s">
        <v>4</v>
      </c>
      <c r="D33" s="116">
        <f aca="true" t="shared" si="4" ref="D33:I33">+D30+D29+D28+D27+D26+D25+D24+D23+D22+D21+D20+D19+D18+D15+D12+D11+D10+D9+D8</f>
        <v>0.69839858</v>
      </c>
      <c r="E33" s="116">
        <f t="shared" si="4"/>
        <v>0.69839858</v>
      </c>
      <c r="F33" s="116">
        <f t="shared" si="4"/>
        <v>4.6460687499999995</v>
      </c>
      <c r="G33" s="116">
        <f t="shared" si="4"/>
        <v>4.6460687499999995</v>
      </c>
      <c r="H33" s="116">
        <f t="shared" si="4"/>
        <v>3.3013616800000007</v>
      </c>
      <c r="I33" s="116">
        <f t="shared" si="4"/>
        <v>3.3013616800000007</v>
      </c>
      <c r="J33" s="116">
        <f>+J30+J29+J28+J27+J26+J25+J24+J23+J22+J21+J20+J19+J18+J15+J12+J11+J10+J9+J8+0.001</f>
        <v>5.34525332</v>
      </c>
      <c r="K33" s="116">
        <f>+K30+K29+K28+K27+K26+K25+K24+K23+K22+K21+K20+K19+K18+K15+K12+K11+K10+K9+K8+0.001</f>
        <v>5.34525332</v>
      </c>
      <c r="L33" s="122">
        <f aca="true" t="shared" si="5" ref="L33:S33">+L30+L29+L28+L27+L26+L25+L24+L23+L22+L21+L20+L19+L18+L15+L12+L11+L10+L9+L8</f>
        <v>7.697646000000001</v>
      </c>
      <c r="M33" s="122">
        <f t="shared" si="5"/>
        <v>7.697646000000001</v>
      </c>
      <c r="N33" s="122">
        <f t="shared" si="5"/>
        <v>8.9655</v>
      </c>
      <c r="O33" s="122">
        <f t="shared" si="5"/>
        <v>8.9655</v>
      </c>
      <c r="P33" s="122">
        <f t="shared" si="5"/>
        <v>13.3791</v>
      </c>
      <c r="Q33" s="122">
        <f t="shared" si="5"/>
        <v>13.3791</v>
      </c>
      <c r="R33" s="122">
        <f t="shared" si="5"/>
        <v>44.03132833</v>
      </c>
      <c r="S33" s="122">
        <f t="shared" si="5"/>
        <v>44.03132833</v>
      </c>
    </row>
    <row r="34" spans="2:19" ht="12.75">
      <c r="B34" s="1"/>
      <c r="C34" s="39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2:10" ht="12.75">
      <c r="B35" s="34"/>
      <c r="J35" s="52"/>
    </row>
    <row r="36" spans="2:18" ht="12.75">
      <c r="B36" s="35"/>
      <c r="C36" s="25"/>
      <c r="J36" s="52"/>
      <c r="R36" s="52"/>
    </row>
    <row r="37" ht="12.75">
      <c r="B37" s="36"/>
    </row>
  </sheetData>
  <mergeCells count="16">
    <mergeCell ref="L6:M6"/>
    <mergeCell ref="N6:O6"/>
    <mergeCell ref="P6:Q6"/>
    <mergeCell ref="R6:S6"/>
    <mergeCell ref="D6:E6"/>
    <mergeCell ref="F6:G6"/>
    <mergeCell ref="H6:I6"/>
    <mergeCell ref="J6:K6"/>
    <mergeCell ref="L5:M5"/>
    <mergeCell ref="N5:O5"/>
    <mergeCell ref="P5:Q5"/>
    <mergeCell ref="R5:S5"/>
    <mergeCell ref="D5:E5"/>
    <mergeCell ref="F5:G5"/>
    <mergeCell ref="H5:I5"/>
    <mergeCell ref="J5:K5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61" r:id="rId1"/>
  <headerFooter alignWithMargins="0">
    <oddHeader>&amp;CPSR 2000-2006</oddHeader>
    <oddFooter>&amp;L&amp;P
&amp;N&amp;C&amp;"Arial Narrow,Normale"&amp;10&amp;F&amp;R&amp;A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Ufficio Informatica d'Ufficio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PB11659</dc:creator>
  <cp:keywords/>
  <dc:description/>
  <cp:lastModifiedBy>Roland Schieder</cp:lastModifiedBy>
  <cp:lastPrinted>2004-05-10T06:44:31Z</cp:lastPrinted>
  <dcterms:created xsi:type="dcterms:W3CDTF">2000-05-19T08:01:38Z</dcterms:created>
  <dcterms:modified xsi:type="dcterms:W3CDTF">2004-07-26T07:41:04Z</dcterms:modified>
  <cp:category/>
  <cp:version/>
  <cp:contentType/>
  <cp:contentStatus/>
</cp:coreProperties>
</file>