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1970" windowHeight="3075" tabRatio="874" firstSheet="28" activeTab="33"/>
  </bookViews>
  <sheets>
    <sheet name="1) generale" sheetId="1" r:id="rId1"/>
    <sheet name="1bis) per misura" sheetId="2" r:id="rId2"/>
    <sheet name="2) asse 1" sheetId="3" r:id="rId3"/>
    <sheet name="2)bis mis.s-assi" sheetId="4" r:id="rId4"/>
    <sheet name="3) asse 2" sheetId="5" r:id="rId5"/>
    <sheet name="3)bis mis.-asse2" sheetId="6" r:id="rId6"/>
    <sheet name="4) asse 3" sheetId="7" r:id="rId7"/>
    <sheet name="4)bis mis.-asse3" sheetId="8" r:id="rId8"/>
    <sheet name="5) sottoasse 1" sheetId="9" r:id="rId9"/>
    <sheet name="6) sottoasse 2" sheetId="10" r:id="rId10"/>
    <sheet name="7) sottoasse 3" sheetId="11" r:id="rId11"/>
    <sheet name="8) misura 1" sheetId="12" r:id="rId12"/>
    <sheet name="9) misura 2" sheetId="13" r:id="rId13"/>
    <sheet name="10) misura 3" sheetId="14" r:id="rId14"/>
    <sheet name="11) misura 4" sheetId="15" r:id="rId15"/>
    <sheet name=" 12) misura 5 - I" sheetId="16" r:id="rId16"/>
    <sheet name="12bis 5 - I A" sheetId="17" r:id="rId17"/>
    <sheet name="12ter 5 - I B" sheetId="18" r:id="rId18"/>
    <sheet name="13) misura 6" sheetId="19" r:id="rId19"/>
    <sheet name="14) misura 5 - II" sheetId="20" r:id="rId20"/>
    <sheet name="14bis 5 - II a" sheetId="21" r:id="rId21"/>
    <sheet name="14 ter 5 - II b" sheetId="22" r:id="rId22"/>
    <sheet name="15) misura 7" sheetId="23" r:id="rId23"/>
    <sheet name="16) misura 8" sheetId="24" r:id="rId24"/>
    <sheet name="17) misura 9" sheetId="25" r:id="rId25"/>
    <sheet name="18) misura 10" sheetId="26" r:id="rId26"/>
    <sheet name="19) misura 11" sheetId="27" r:id="rId27"/>
    <sheet name="20) misura 12" sheetId="28" r:id="rId28"/>
    <sheet name="21) misura 13" sheetId="29" r:id="rId29"/>
    <sheet name="22) misura 14" sheetId="30" r:id="rId30"/>
    <sheet name="23) misura 15A" sheetId="31" r:id="rId31"/>
    <sheet name="24) misura 15B" sheetId="32" r:id="rId32"/>
    <sheet name="24bis 15B 1" sheetId="33" r:id="rId33"/>
    <sheet name="24ter 15 B 2" sheetId="34" r:id="rId34"/>
  </sheets>
  <definedNames/>
  <calcPr fullCalcOnLoad="1"/>
</workbook>
</file>

<file path=xl/sharedStrings.xml><?xml version="1.0" encoding="utf-8"?>
<sst xmlns="http://schemas.openxmlformats.org/spreadsheetml/2006/main" count="898" uniqueCount="108">
  <si>
    <t>%</t>
  </si>
  <si>
    <t>MEURO</t>
  </si>
  <si>
    <t>(Tabelle Nr.1)</t>
  </si>
  <si>
    <t>(Tabelle Nr.1bis)</t>
  </si>
  <si>
    <t>(Tabelle Nr.2)</t>
  </si>
  <si>
    <t>(Tabelle Nr.2bis)</t>
  </si>
  <si>
    <t>(Tabelle Nr.3)</t>
  </si>
  <si>
    <t>(Tabelle Nr.3bis)</t>
  </si>
  <si>
    <t>(Tabelle Nr.4)</t>
  </si>
  <si>
    <t>(Tabelle Nr.4bis)</t>
  </si>
  <si>
    <t>(Tabelle Nr.5)</t>
  </si>
  <si>
    <t>(Tabelle Nr.6)</t>
  </si>
  <si>
    <t>(Tabelle Nr.7)</t>
  </si>
  <si>
    <t>(Tabelle Nr.8)</t>
  </si>
  <si>
    <t>(Tabelle Nr.9)</t>
  </si>
  <si>
    <t>(Tabelle Nr.10)</t>
  </si>
  <si>
    <t>(Tabelle Nr.11)</t>
  </si>
  <si>
    <t>(Tabelle Nr.12)</t>
  </si>
  <si>
    <t>(Tabelle Nr.12bis)</t>
  </si>
  <si>
    <t>(Tabelle Nr.12 ter)</t>
  </si>
  <si>
    <t>(Tabelle Nr.13)</t>
  </si>
  <si>
    <t>(Tabelle Nr.14)</t>
  </si>
  <si>
    <t>(Tabelle Nr.14 bis)</t>
  </si>
  <si>
    <t>(Tabelle Nr.14 ter)</t>
  </si>
  <si>
    <t>(Tabelle Nr.15)</t>
  </si>
  <si>
    <t>(Tabelle Nr.16)</t>
  </si>
  <si>
    <t>(Tabelle Nr.17)</t>
  </si>
  <si>
    <t>(Tabelle Nr.18)</t>
  </si>
  <si>
    <t>(Tabelle Nr.19)</t>
  </si>
  <si>
    <t>(Tabelle Nr.20)</t>
  </si>
  <si>
    <t>(Tabelle Nr.21)</t>
  </si>
  <si>
    <t>(Tabelle Nr.22)</t>
  </si>
  <si>
    <t>(Tabelle Nr.23)</t>
  </si>
  <si>
    <t>(Tabelle Nr.24)</t>
  </si>
  <si>
    <t>(Tabelle Nr.24 bis)</t>
  </si>
  <si>
    <t>(Tabelle Nr.24 ter)</t>
  </si>
  <si>
    <t>Jahr 2000</t>
  </si>
  <si>
    <t>Jahr 2001</t>
  </si>
  <si>
    <t>Jahr 2002</t>
  </si>
  <si>
    <t>Jahr 2003</t>
  </si>
  <si>
    <t>Jahr 2004</t>
  </si>
  <si>
    <t>Jahr 2005</t>
  </si>
  <si>
    <t>Jahr 2006</t>
  </si>
  <si>
    <t>INSGESAMT</t>
  </si>
  <si>
    <t>GESAMTKOSTEN</t>
  </si>
  <si>
    <t>ÖFFENTLICHER BEITRAG</t>
  </si>
  <si>
    <t>PRIVATE</t>
  </si>
  <si>
    <t>EU</t>
  </si>
  <si>
    <t>STAAT</t>
  </si>
  <si>
    <t>PROVINZ</t>
  </si>
  <si>
    <t>Maßnahme 1</t>
  </si>
  <si>
    <t>Maßnahme 2</t>
  </si>
  <si>
    <t>Maßnahme 3</t>
  </si>
  <si>
    <t>Maßnahme 4</t>
  </si>
  <si>
    <t>Maßnahme 5 - I</t>
  </si>
  <si>
    <t>Maßnahme 6</t>
  </si>
  <si>
    <t>Maßnahme 5 - II</t>
  </si>
  <si>
    <t>Maßnahme 7</t>
  </si>
  <si>
    <t>Maßnahme 8</t>
  </si>
  <si>
    <t>Maßnahme 10</t>
  </si>
  <si>
    <t>Maßnahme 11</t>
  </si>
  <si>
    <t>Maßnahme 12</t>
  </si>
  <si>
    <t>Maßnahme 13</t>
  </si>
  <si>
    <t>Maßnahme 14</t>
  </si>
  <si>
    <t>Maßnahme 15 - A</t>
  </si>
  <si>
    <t>Maßnahme 15 - B</t>
  </si>
  <si>
    <t>Maßnahme 9</t>
  </si>
  <si>
    <t>SCHWERPUNKBEREICH Nr.1</t>
  </si>
  <si>
    <t>SCHWERPUNKBEREICH Nr.2</t>
  </si>
  <si>
    <t>SCHWERPUNKBEREICH Nr.3</t>
  </si>
  <si>
    <t>BETRAG SCHWERPUNKBEREICH</t>
  </si>
  <si>
    <t>INSGESAMT ACHSE Nr.1</t>
  </si>
  <si>
    <t>Gesamter jährlicher Finanzierungsplan</t>
  </si>
  <si>
    <t>Jährlicher Finanzierungsplan der Achse Nr.1, Modernisierung der landwirtschaftlichen, forstwirtschaftlichen und agroindustriellen Systeme</t>
  </si>
  <si>
    <t>Jährlicher Finanzierungsplan der Achse Nr.2, Förderung des ländlichen Raums</t>
  </si>
  <si>
    <t>Gesamter Finanzierungsplan pro Maßnahme - Achse Nr.2, Förderung des ländlichen Raums</t>
  </si>
  <si>
    <t>Jährlicher Finanzierungsplan der Achse Nr.3, Schutz der Umwelt und der Landschaft, Förderung von Agrarumweltmaßnahmen</t>
  </si>
  <si>
    <t>Gesamter Finanzierungsplan pro Maßnahme - Achse Nr.3, Schutz der Umwelt und der Landschaft, Förderung von Agrarumweltmaßnahmen</t>
  </si>
  <si>
    <t>Jährlicher Finanzierungsplan des Schwerpunktbereiches Nr.1, Interventionen zu Gunsten von land- und forstwirtschaftlichen Betrieben</t>
  </si>
  <si>
    <t>Jährlicher Finanzierungsplan des Schwerpunktbereiches Nr.2, Interventionen zu Gunsten der Verarbeitung und Vermarktung land- und forstwirtschaftlicher Erzeugnisse</t>
  </si>
  <si>
    <t>Jährlicher Finanzierungsplan des Schwerpunktbereiches Nr.3, Interventionen im bereich Dienste für landwirtschaftliche Betriebe und Berufsbildung</t>
  </si>
  <si>
    <t>Finanzierungsplan der Maßnahme Nr.1: Investitionen in landwirtschaftlichen Betrieben</t>
  </si>
  <si>
    <t>Finanzierungsplan der Maßnahme Nr.2: Niederlassung der Junglandwirte</t>
  </si>
  <si>
    <t>Finanzierungsplan der Maßnahme Nr.3: Vorruhestand</t>
  </si>
  <si>
    <t>Finanzierungsplan der Maßnahme Nr.4: Flurbereinigung</t>
  </si>
  <si>
    <t>Finanzierungsplan der Maßnahme Nr.5 - I:  Investitionen in Urlaub am Bauernhof und dazugehörige Infrastrukturen, Information in Forstsektor</t>
  </si>
  <si>
    <t>Finanzierungsplan der Untermaßnahme Nr.5 - IA:  Investitionen in Urlaub am Bauernhof</t>
  </si>
  <si>
    <t>Finanzierungsplan der Untermaßnahme Nr.5 - I B:  Investitionen in Infrastrukturen für den ländlichen Tourismus, sowie Information im Forstbereich</t>
  </si>
  <si>
    <t>Finanzierungsplan der Maßnahme Nr.6: Verbesserung der Verarbeitung und Vermarktung landwirtschaftlicher Erzeugnisse</t>
  </si>
  <si>
    <t>Finanzierungsplan der Maßnahme Nr.5-II: Andere forstliche Maßnahmen - Investitionsbeihilfen zu Gunsten der Verarbeitung und Vermarktung der Produkte der Waldwirtschaft</t>
  </si>
  <si>
    <t>Finanzierungsplan der Untermaßnahme Nr.5-II a: Verbesserung und Rationalisierung der Bedingungen für die Holzernte, Verarbeitung und Vermarktung der Produkte der Waldwirtschaft</t>
  </si>
  <si>
    <t>Finanzierungsplan der Untermaßnahme Nr.5-II b: Weiterentwicklung und Verbesserung der Wettbewerbsfähigkeit von forstlichen erzeugnissen, sowie unterstützende Maßnahmen für gemeinsame Aktionen zur Vermarktung und Werbung</t>
  </si>
  <si>
    <t>Finanzierungsplan der Maßnahme Nr.7: Aufbau von Vertretungs- und Betriebsführungsdiensten für landwirtschaftliche Betriebe</t>
  </si>
  <si>
    <t>Finanzierungsplan der Maßnahme Nr.8: Berufsbildung</t>
  </si>
  <si>
    <t>Finanzierungsplan der Maßnahme Nr.9: Diversifizierung der Tätigkeiten im landwirtschaftlichen und landwirtschaftsnahen Bereich, um zusätzliche Beschäftigungsmöglichkeiten oder alternative Einkommensquellen zu schaffen</t>
  </si>
  <si>
    <t>Finanzierungsplan der Maßnahme Nr.10: Vermarktung von landwirtschaftlichen Qualitätserzeugnissen</t>
  </si>
  <si>
    <t>Finanzierungsplan der Maßnahme Nr.11: Entwicklung und Verbesserung der mit der Entwicklung der Landwirtschaft verbundenen Infrastrukturen</t>
  </si>
  <si>
    <t>Finanzierungsplan der Maßnahme Nr.12: Wasserwirtschaft in der Landwirtschaft</t>
  </si>
  <si>
    <t>Finanzierungsplan der Maßnahme Nr.13: Agrarumweltmaßnahmen</t>
  </si>
  <si>
    <t>Finanzierungsplan der Maßnahme Nr.14: Benachteiligte Gebiete und Gebiete mit umweltspezifischen Einschränkungen</t>
  </si>
  <si>
    <t>Finanzierungsplan der Maßnahme Nr.15 A: Maßnahmen zum Schutz der Umwelt im Zusammenhang mit der Land- und Forstwirtschaft, der Landschaftspflege und der Verbesserung des Tierschutzes</t>
  </si>
  <si>
    <t>Finanzierungsplan der Maßnahme Nr.15 B: Maßnahmen, welche auf die Erhaltung und auf die nachhaltige Bewirtschaftung der Wälder sowie auf die Erhöhung ihrer Umwelt- und Schutzfunktion ausgerichtet sind</t>
  </si>
  <si>
    <t>Finanzierungsplan der Untermaßnahme Nr.15 B 1: Maßnahmen, welche auf die Erhaltung und auf die nachhaltige Bewirtschaftung der Wälder sowie auf die Erhöhung ihrer Umwelt- und Schutzfunktion ausgerichtet sind</t>
  </si>
  <si>
    <t>Finanzierungsplan der Untermaßnahme Nr.15 B 2: Getsffelte Prämien für die Holznutzung unter erschwerten Bedingungen</t>
  </si>
  <si>
    <t xml:space="preserve">Gesamter Finanzierungsplan pro </t>
  </si>
  <si>
    <t>Maßnahme</t>
  </si>
  <si>
    <t xml:space="preserve">Gesamter Finanzierungsplan pro Maßnahme und pro Schwerpunktbereich - Achse Nr.1, Modernisierung der landwirtschaftlichen, forstwirtschaftlichen und </t>
  </si>
  <si>
    <t>agroindustriellen Systeme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</si>
</sst>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0.0000"/>
    <numFmt numFmtId="168" formatCode="#,##0.000"/>
    <numFmt numFmtId="169" formatCode="0.0000000"/>
    <numFmt numFmtId="170" formatCode="0.000000"/>
    <numFmt numFmtId="171" formatCode="0.000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2" borderId="4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0" fillId="0" borderId="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5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10" fontId="2" fillId="0" borderId="3" xfId="0" applyNumberFormat="1" applyFont="1" applyBorder="1" applyAlignment="1">
      <alignment horizontal="center" wrapText="1"/>
    </xf>
    <xf numFmtId="165" fontId="0" fillId="2" borderId="1" xfId="0" applyNumberFormat="1" applyFont="1" applyFill="1" applyBorder="1" applyAlignment="1">
      <alignment wrapText="1"/>
    </xf>
    <xf numFmtId="10" fontId="0" fillId="2" borderId="1" xfId="0" applyNumberFormat="1" applyFont="1" applyFill="1" applyBorder="1" applyAlignment="1">
      <alignment wrapText="1"/>
    </xf>
    <xf numFmtId="10" fontId="0" fillId="2" borderId="3" xfId="0" applyNumberFormat="1" applyFont="1" applyFill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/>
    </xf>
    <xf numFmtId="165" fontId="0" fillId="2" borderId="2" xfId="0" applyNumberFormat="1" applyFont="1" applyFill="1" applyBorder="1" applyAlignment="1">
      <alignment wrapText="1"/>
    </xf>
    <xf numFmtId="10" fontId="0" fillId="2" borderId="2" xfId="0" applyNumberFormat="1" applyFont="1" applyFill="1" applyBorder="1" applyAlignment="1">
      <alignment wrapText="1"/>
    </xf>
    <xf numFmtId="165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Alignment="1">
      <alignment/>
    </xf>
    <xf numFmtId="165" fontId="1" fillId="0" borderId="2" xfId="0" applyNumberFormat="1" applyFont="1" applyBorder="1" applyAlignment="1">
      <alignment wrapText="1"/>
    </xf>
    <xf numFmtId="10" fontId="1" fillId="0" borderId="2" xfId="0" applyNumberFormat="1" applyFont="1" applyBorder="1" applyAlignment="1">
      <alignment wrapText="1"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165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167" fontId="0" fillId="0" borderId="0" xfId="0" applyNumberFormat="1" applyFont="1" applyAlignment="1">
      <alignment wrapText="1"/>
    </xf>
    <xf numFmtId="167" fontId="2" fillId="0" borderId="1" xfId="0" applyNumberFormat="1" applyFont="1" applyBorder="1" applyAlignment="1">
      <alignment horizontal="center" wrapText="1"/>
    </xf>
    <xf numFmtId="167" fontId="0" fillId="2" borderId="1" xfId="0" applyNumberFormat="1" applyFont="1" applyFill="1" applyBorder="1" applyAlignment="1">
      <alignment wrapText="1"/>
    </xf>
    <xf numFmtId="167" fontId="0" fillId="2" borderId="2" xfId="0" applyNumberFormat="1" applyFont="1" applyFill="1" applyBorder="1" applyAlignment="1">
      <alignment wrapText="1"/>
    </xf>
    <xf numFmtId="10" fontId="0" fillId="2" borderId="6" xfId="0" applyNumberFormat="1" applyFont="1" applyFill="1" applyBorder="1" applyAlignment="1">
      <alignment wrapText="1"/>
    </xf>
    <xf numFmtId="167" fontId="1" fillId="0" borderId="2" xfId="0" applyNumberFormat="1" applyFont="1" applyBorder="1" applyAlignment="1">
      <alignment wrapText="1"/>
    </xf>
    <xf numFmtId="10" fontId="1" fillId="0" borderId="6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10" fontId="1" fillId="3" borderId="0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C10" sqref="C10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bestFit="1" customWidth="1"/>
    <col min="19" max="19" width="8.57421875" style="6" bestFit="1" customWidth="1"/>
    <col min="20" max="20" width="3.00390625" style="6" bestFit="1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25.5" customHeight="1">
      <c r="A2" s="20" t="s">
        <v>72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2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'2) asse 1'!B6+'3) asse 2'!B6+'4) asse 3'!B6</f>
        <v>0</v>
      </c>
      <c r="C6" s="23" t="e">
        <f>100*B6/B6</f>
        <v>#DIV/0!</v>
      </c>
      <c r="D6" s="35">
        <f>'2) asse 1'!D6+'3) asse 2'!D6+'4) asse 3'!D6</f>
        <v>0</v>
      </c>
      <c r="E6" s="23" t="e">
        <f>100*D6/B6</f>
        <v>#DIV/0!</v>
      </c>
      <c r="F6" s="35">
        <f>'2) asse 1'!F6+'3) asse 2'!F6+'4) asse 3'!F6</f>
        <v>0</v>
      </c>
      <c r="G6" s="23" t="e">
        <f>100*F6/B6</f>
        <v>#DIV/0!</v>
      </c>
      <c r="H6" s="35">
        <f>'2) asse 1'!H6+'3) asse 2'!H6+'4) asse 3'!H6</f>
        <v>0</v>
      </c>
      <c r="I6" s="23" t="e">
        <f>100*H6/B6</f>
        <v>#DIV/0!</v>
      </c>
      <c r="J6" s="35">
        <f>'2) asse 1'!J6+'3) asse 2'!J6+'4) asse 3'!J6</f>
        <v>0</v>
      </c>
      <c r="K6" s="25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'2) asse 1'!B8+'3) asse 2'!B8+'4) asse 3'!B8</f>
        <v>34.62622767851002</v>
      </c>
      <c r="C8" s="23">
        <f>100*B8/B8</f>
        <v>100</v>
      </c>
      <c r="D8" s="35">
        <f>'2) asse 1'!D8+'3) asse 2'!D8+'4) asse 3'!D8</f>
        <v>8.090260634063055</v>
      </c>
      <c r="E8" s="23">
        <f>100*D8/B8</f>
        <v>23.364545249276723</v>
      </c>
      <c r="F8" s="35">
        <f>'2) asse 1'!F8+'3) asse 2'!F8+'4) asse 3'!F8</f>
        <v>9.249877879045448</v>
      </c>
      <c r="G8" s="23">
        <f>100*F8/B8</f>
        <v>26.71350158303896</v>
      </c>
      <c r="H8" s="35">
        <f>'2) asse 1'!H8+'3) asse 2'!H8+'4) asse 3'!H8</f>
        <v>2.918519091019478</v>
      </c>
      <c r="I8" s="23">
        <f>100*H8/B8</f>
        <v>8.4286371536533</v>
      </c>
      <c r="J8" s="35">
        <f>'2) asse 1'!J8+'3) asse 2'!J8+'4) asse 3'!J8</f>
        <v>14.367570074382042</v>
      </c>
      <c r="K8" s="25">
        <f>100*J8/B8</f>
        <v>41.49331601403103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'2) asse 1'!B10+'3) asse 2'!B10+'4) asse 3'!B10</f>
        <v>35.99883306840534</v>
      </c>
      <c r="C10" s="23">
        <f>100*B10/B10</f>
        <v>100</v>
      </c>
      <c r="D10" s="35">
        <f>'2) asse 1'!D10+'3) asse 2'!D10+'4) asse 3'!D10</f>
        <v>8.6196825901923</v>
      </c>
      <c r="E10" s="23">
        <f>100*D10/B10</f>
        <v>23.94433890068907</v>
      </c>
      <c r="F10" s="35">
        <f>'2) asse 1'!F10+'3) asse 2'!F10+'4) asse 3'!F10</f>
        <v>9.841947376698812</v>
      </c>
      <c r="G10" s="23">
        <f>100*F10/B10</f>
        <v>27.33962892074042</v>
      </c>
      <c r="H10" s="35">
        <f>'2) asse 1'!H10+'3) asse 2'!H10+'4) asse 3'!H10-0.001</f>
        <v>3.0599491828709198</v>
      </c>
      <c r="I10" s="23">
        <f>100*H10/B10</f>
        <v>8.500134371179128</v>
      </c>
      <c r="J10" s="35">
        <f>'2) asse 1'!J10+'3) asse 2'!J10+'4) asse 3'!J10</f>
        <v>14.475253918643315</v>
      </c>
      <c r="K10" s="25">
        <f>100*J10/B10</f>
        <v>40.210342071747974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'2) asse 1'!B12+'3) asse 2'!B12+'4) asse 3'!B12</f>
        <v>38.466578349942914</v>
      </c>
      <c r="C12" s="23">
        <f>100*B12/B12</f>
        <v>100</v>
      </c>
      <c r="D12" s="35">
        <f>'2) asse 1'!D12+'3) asse 2'!D12+'4) asse 3'!D12</f>
        <v>9.439627258625016</v>
      </c>
      <c r="E12" s="23">
        <f>100*D12/B12</f>
        <v>24.539815246237062</v>
      </c>
      <c r="F12" s="35">
        <f>'2) asse 1'!F12+'3) asse 2'!F12+'4) asse 3'!F12</f>
        <v>10.742232708787315</v>
      </c>
      <c r="G12" s="23">
        <f>100*F12/B12</f>
        <v>27.926145681744153</v>
      </c>
      <c r="H12" s="35">
        <f>'2) asse 1'!H12+'3) asse 2'!H12+'4) asse 3'!H12+0.001</f>
        <v>3.246036143051706</v>
      </c>
      <c r="I12" s="23">
        <f>100*H12/B12</f>
        <v>8.438588203820638</v>
      </c>
      <c r="J12" s="35">
        <f>'2) asse 1'!J12+'3) asse 2'!J12+'4) asse 3'!J12</f>
        <v>15.039682239478882</v>
      </c>
      <c r="K12" s="25">
        <f>100*J12/B12</f>
        <v>39.09805052754634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'2) asse 1'!B14+'3) asse 2'!B14+'4) asse 3'!B14</f>
        <v>55.81778129547862</v>
      </c>
      <c r="C14" s="23">
        <f>100*B14/B14</f>
        <v>100</v>
      </c>
      <c r="D14" s="35">
        <f>'2) asse 1'!D14+'3) asse 2'!D14+'4) asse 3'!D14</f>
        <v>17.32034292290183</v>
      </c>
      <c r="E14" s="23">
        <f>100*D14/B14</f>
        <v>31.030152974397822</v>
      </c>
      <c r="F14" s="35">
        <f>'2) asse 1'!F14+'3) asse 2'!F14+'4) asse 3'!F14+0.001</f>
        <v>18.78126339694146</v>
      </c>
      <c r="G14" s="23">
        <f>100*F14/B14</f>
        <v>33.64745599170347</v>
      </c>
      <c r="H14" s="35">
        <f>'2) asse 1'!H14+'3) asse 2'!H14+'4) asse 3'!H14-0.001</f>
        <v>3.47690643797491</v>
      </c>
      <c r="I14" s="23">
        <f>100*H14/B14</f>
        <v>6.229030171531645</v>
      </c>
      <c r="J14" s="35">
        <f>'2) asse 1'!J14+'3) asse 2'!J14+'4) asse 3'!J14</f>
        <v>16.237268537660423</v>
      </c>
      <c r="K14" s="25">
        <f>100*J14/B14</f>
        <v>29.089777774767416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'2) asse 1'!B16+'3) asse 2'!B16+'4) asse 3'!B16</f>
        <v>58.08030052820534</v>
      </c>
      <c r="C16" s="23">
        <f>100*B16/B16</f>
        <v>100</v>
      </c>
      <c r="D16" s="35">
        <f>'2) asse 1'!D16+'3) asse 2'!D16+'4) asse 3'!D16-0.001</f>
        <v>17.709851843230304</v>
      </c>
      <c r="E16" s="23">
        <f>100*D16/B16</f>
        <v>30.49201137420067</v>
      </c>
      <c r="F16" s="35">
        <f>'2) asse 1'!F16+'3) asse 2'!F16+'4) asse 3'!F16+0.001</f>
        <v>19.23836763434401</v>
      </c>
      <c r="G16" s="23">
        <f>100*F16/B16</f>
        <v>33.1237398212176</v>
      </c>
      <c r="H16" s="35">
        <f>'2) asse 1'!H16+'3) asse 2'!H16+'4) asse 3'!H16-0.001</f>
        <v>3.671665396861718</v>
      </c>
      <c r="I16" s="23">
        <f>100*H16/B16</f>
        <v>6.321705231326514</v>
      </c>
      <c r="J16" s="35">
        <f>'2) asse 1'!J16+'3) asse 2'!J16+'4) asse 3'!J16</f>
        <v>17.46041565376931</v>
      </c>
      <c r="K16" s="25">
        <f>100*J16/B16</f>
        <v>30.062543573255216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'2) asse 1'!B18+'3) asse 2'!B18+'4) asse 3'!B18</f>
        <v>59.96450635668992</v>
      </c>
      <c r="C18" s="23">
        <f>100*B18/B18</f>
        <v>100</v>
      </c>
      <c r="D18" s="35">
        <f>'2) asse 1'!D18+'3) asse 2'!D18+'4) asse 3'!D18</f>
        <v>18.10020742884909</v>
      </c>
      <c r="E18" s="23">
        <f>100*D18/B18</f>
        <v>30.184868564051385</v>
      </c>
      <c r="F18" s="35">
        <f>'2) asse 1'!F18+'3) asse 2'!F18+'4) asse 3'!F18+0.001</f>
        <v>19.712400519772558</v>
      </c>
      <c r="G18" s="23">
        <f>100*F18/B18</f>
        <v>32.87344750662381</v>
      </c>
      <c r="H18" s="35">
        <f>'2) asse 1'!H18+'3) asse 2'!H18+'4) asse 3'!H18</f>
        <v>3.880722347759667</v>
      </c>
      <c r="I18" s="23">
        <f>100*H18/B18</f>
        <v>6.471698982521042</v>
      </c>
      <c r="J18" s="35">
        <f>'2) asse 1'!J18+'3) asse 2'!J18+'4) asse 3'!J18</f>
        <v>18.272176060308603</v>
      </c>
      <c r="K18" s="25">
        <f>100*J18/B18</f>
        <v>30.47165259998855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282.9542272772321</v>
      </c>
      <c r="C20" s="24">
        <f>100*B20/B20</f>
        <v>100</v>
      </c>
      <c r="D20" s="48">
        <f>SUM(D18+D16+D14+D12+D10+D8+D6)</f>
        <v>79.2799726778616</v>
      </c>
      <c r="E20" s="24">
        <f>100*D20/B20</f>
        <v>28.018656388612595</v>
      </c>
      <c r="F20" s="48">
        <f>SUM(F18+F16+F14+F12+F10+F8+F6)-0.001</f>
        <v>87.56508951558959</v>
      </c>
      <c r="G20" s="24">
        <f>100*F20/B20</f>
        <v>30.946733101744865</v>
      </c>
      <c r="H20" s="48">
        <f>SUM(H18+H16+H14+H12+H10+H8+H6)+0.001</f>
        <v>20.2547985995384</v>
      </c>
      <c r="I20" s="24">
        <f>100*H20/B20</f>
        <v>7.15833044603826</v>
      </c>
      <c r="J20" s="48">
        <f>SUM(J18+J16+J14+J12+J10+J8+J6)</f>
        <v>95.85236648424258</v>
      </c>
      <c r="K20" s="26">
        <f>100*J20/B20</f>
        <v>33.87557323550024</v>
      </c>
    </row>
  </sheetData>
  <mergeCells count="6">
    <mergeCell ref="B2:C3"/>
    <mergeCell ref="J2:K3"/>
    <mergeCell ref="D3:E3"/>
    <mergeCell ref="F3:G3"/>
    <mergeCell ref="H3:I3"/>
    <mergeCell ref="D2:I2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&amp;L&amp;8&amp;A&amp;C177/ E&amp;R&amp;8&amp;F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102">
      <c r="A2" s="20" t="s">
        <v>79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11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'13) misura 6'!B6+'14) misura 5 - II'!B6</f>
        <v>0</v>
      </c>
      <c r="C6" s="5" t="e">
        <f>100*B6/B6</f>
        <v>#DIV/0!</v>
      </c>
      <c r="D6" s="35">
        <f>'13) misura 6'!D6+'14) misura 5 - II'!D6</f>
        <v>0</v>
      </c>
      <c r="E6" s="5" t="e">
        <f>100*D6/B6</f>
        <v>#DIV/0!</v>
      </c>
      <c r="F6" s="35">
        <f>'13) misura 6'!F6+'14) misura 5 - II'!F6</f>
        <v>0</v>
      </c>
      <c r="G6" s="5" t="e">
        <f>100*F6/B6</f>
        <v>#DIV/0!</v>
      </c>
      <c r="H6" s="35">
        <f>'13) misura 6'!H6+'14) misura 5 - II'!H6</f>
        <v>0</v>
      </c>
      <c r="I6" s="5" t="e">
        <f>100*H6/B6</f>
        <v>#DIV/0!</v>
      </c>
      <c r="J6" s="35">
        <f>'13) misura 6'!J6+'14) misura 5 - II'!J6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'13) misura 6'!B8+'14) misura 5 - II'!B8</f>
        <v>11.200000000000001</v>
      </c>
      <c r="C8" s="23">
        <f>100*B8/B8</f>
        <v>99.99999999999999</v>
      </c>
      <c r="D8" s="35">
        <f>'13) misura 6'!D8+'14) misura 5 - II'!D8</f>
        <v>1.6983333333333335</v>
      </c>
      <c r="E8" s="23">
        <f>100*D8/B8</f>
        <v>15.163690476190476</v>
      </c>
      <c r="F8" s="35">
        <f>'13) misura 6'!F8+'14) misura 5 - II'!F8</f>
        <v>1.9975</v>
      </c>
      <c r="G8" s="23">
        <f>100*F8/B8</f>
        <v>17.834821428571427</v>
      </c>
      <c r="H8" s="35">
        <f>'13) misura 6'!H8+'14) misura 5 - II'!H8</f>
        <v>0.8565</v>
      </c>
      <c r="I8" s="23">
        <f>100*H8/B8</f>
        <v>7.647321428571428</v>
      </c>
      <c r="J8" s="35">
        <f>'13) misura 6'!J8+'14) misura 5 - II'!J8</f>
        <v>6.647666666666668</v>
      </c>
      <c r="K8" s="25">
        <f>100*J8/B8</f>
        <v>59.35416666666667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'13) misura 6'!B10+'14) misura 5 - II'!B10</f>
        <v>11.100000000000001</v>
      </c>
      <c r="C10" s="23">
        <f>100*B10/B10</f>
        <v>100.00000000000001</v>
      </c>
      <c r="D10" s="35">
        <f>'13) misura 6'!D10+'14) misura 5 - II'!D10</f>
        <v>1.6823333333333332</v>
      </c>
      <c r="E10" s="23">
        <f>100*D10/B10</f>
        <v>15.156156156156152</v>
      </c>
      <c r="F10" s="35">
        <f>'13) misura 6'!F10+'14) misura 5 - II'!F10</f>
        <v>1.9800000000000002</v>
      </c>
      <c r="G10" s="23">
        <f>100*F10/B10</f>
        <v>17.83783783783784</v>
      </c>
      <c r="H10" s="35">
        <f>'13) misura 6'!H10+'14) misura 5 - II'!H10</f>
        <v>0.849</v>
      </c>
      <c r="I10" s="23">
        <f>100*H10/B10</f>
        <v>7.6486486486486465</v>
      </c>
      <c r="J10" s="35">
        <f>'13) misura 6'!J10+'14) misura 5 - II'!J10</f>
        <v>6.587666666666669</v>
      </c>
      <c r="K10" s="25">
        <f>100*J10/B10</f>
        <v>59.34834834834836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'13) misura 6'!B12+'14) misura 5 - II'!B12</f>
        <v>10.785333333333334</v>
      </c>
      <c r="C12" s="23">
        <f>100*B12/B12</f>
        <v>99.99999999999999</v>
      </c>
      <c r="D12" s="35">
        <f>'13) misura 6'!D12+'14) misura 5 - II'!D12</f>
        <v>1.6361333333333332</v>
      </c>
      <c r="E12" s="23">
        <f>100*D12/B12</f>
        <v>15.169983928792185</v>
      </c>
      <c r="F12" s="35">
        <f>'13) misura 6'!F12+'14) misura 5 - II'!F12</f>
        <v>1.9259333333333333</v>
      </c>
      <c r="G12" s="23">
        <f>100*F12/B12</f>
        <v>17.856966250463593</v>
      </c>
      <c r="H12" s="35">
        <f>'13) misura 6'!H12+'14) misura 5 - II'!H12</f>
        <v>0.8243999999999999</v>
      </c>
      <c r="I12" s="23">
        <f>100*H12/B12</f>
        <v>7.6437136852515755</v>
      </c>
      <c r="J12" s="35">
        <f>'13) misura 6'!J12+'14) misura 5 - II'!J12</f>
        <v>6.3988666666666685</v>
      </c>
      <c r="K12" s="25">
        <f>100*J12/B12</f>
        <v>59.32933613549266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'13) misura 6'!B14+'14) misura 5 - II'!B14</f>
        <v>10.008</v>
      </c>
      <c r="C14" s="23">
        <f>100*B14/B14</f>
        <v>100</v>
      </c>
      <c r="D14" s="35">
        <f>'13) misura 6'!D14+'14) misura 5 - II'!D14</f>
        <v>1.5195333333333332</v>
      </c>
      <c r="E14" s="23">
        <f>100*D14/B14</f>
        <v>15.183186783906208</v>
      </c>
      <c r="F14" s="35">
        <f>'13) misura 6'!F14+'14) misura 5 - II'!F14</f>
        <v>1.7888999999999997</v>
      </c>
      <c r="G14" s="23">
        <f>100*F14/B14</f>
        <v>17.87470023980815</v>
      </c>
      <c r="H14" s="35">
        <f>'13) misura 6'!H14+'14) misura 5 - II'!H14</f>
        <v>0.7670999999999999</v>
      </c>
      <c r="I14" s="23">
        <f>100*H14/B14</f>
        <v>7.664868105515588</v>
      </c>
      <c r="J14" s="35">
        <f>'13) misura 6'!J14+'14) misura 5 - II'!J14</f>
        <v>5.9324666666666666</v>
      </c>
      <c r="K14" s="25">
        <f>100*J14/B14</f>
        <v>59.277244870770055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'13) misura 6'!B16+'14) misura 5 - II'!B16</f>
        <v>11.007000000000003</v>
      </c>
      <c r="C16" s="23">
        <f>100*B16/B16</f>
        <v>100</v>
      </c>
      <c r="D16" s="35">
        <f>'13) misura 6'!D16+'14) misura 5 - II'!D16</f>
        <v>1.6693833333333337</v>
      </c>
      <c r="E16" s="23">
        <f>100*D16/B16</f>
        <v>15.166560673510794</v>
      </c>
      <c r="F16" s="35">
        <f>'13) misura 6'!F16+'14) misura 5 - II'!F16</f>
        <v>1.9637250000000004</v>
      </c>
      <c r="G16" s="23">
        <f>100*F16/B16</f>
        <v>17.840692286726625</v>
      </c>
      <c r="H16" s="35">
        <f>'13) misura 6'!H16+'14) misura 5 - II'!H16</f>
        <v>0.8420250000000001</v>
      </c>
      <c r="I16" s="23">
        <f>100*H16/B16</f>
        <v>7.649904606159716</v>
      </c>
      <c r="J16" s="35">
        <f>'13) misura 6'!J16+'14) misura 5 - II'!J16</f>
        <v>6.53286666666667</v>
      </c>
      <c r="K16" s="25">
        <f>100*J16/B16</f>
        <v>59.351927561248914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'13) misura 6'!B18+'14) misura 5 - II'!B18</f>
        <v>11.300000000000002</v>
      </c>
      <c r="C18" s="23">
        <f>100*B18/B18</f>
        <v>100</v>
      </c>
      <c r="D18" s="35">
        <f>'13) misura 6'!D18+'14) misura 5 - II'!D18</f>
        <v>1.7153333333333336</v>
      </c>
      <c r="E18" s="23">
        <f>100*D18/B18</f>
        <v>15.179941002949851</v>
      </c>
      <c r="F18" s="35">
        <f>'13) misura 6'!F18+'14) misura 5 - II'!F18</f>
        <v>2.019</v>
      </c>
      <c r="G18" s="23">
        <f>100*F18/B18</f>
        <v>17.86725663716814</v>
      </c>
      <c r="H18" s="35">
        <f>'13) misura 6'!H18+'14) misura 5 - II'!H18</f>
        <v>0.8660000000000001</v>
      </c>
      <c r="I18" s="23">
        <f>100*H18/B18</f>
        <v>7.663716814159291</v>
      </c>
      <c r="J18" s="35">
        <f>'13) misura 6'!J18+'14) misura 5 - II'!J18</f>
        <v>6.700666666666668</v>
      </c>
      <c r="K18" s="25">
        <f>100*J18/B18</f>
        <v>59.29793510324483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65.40033333333334</v>
      </c>
      <c r="C20" s="24">
        <f>100*B20/B20</f>
        <v>100</v>
      </c>
      <c r="D20" s="48">
        <f>SUM(D18+D16+D14+D12+D10+D8+D6)</f>
        <v>9.921050000000001</v>
      </c>
      <c r="E20" s="24">
        <f>100*D20/B20</f>
        <v>15.169723905586618</v>
      </c>
      <c r="F20" s="48">
        <f>SUM(F18+F16+F14+F12+F10+F8+F6)</f>
        <v>11.675058333333334</v>
      </c>
      <c r="G20" s="24">
        <f>100*F20/B20</f>
        <v>17.85168016472903</v>
      </c>
      <c r="H20" s="48">
        <f>SUM(H18+H16+H14+H12+H10+H8+H6)</f>
        <v>5.005025</v>
      </c>
      <c r="I20" s="24">
        <f>100*H20/B20</f>
        <v>7.652904419447403</v>
      </c>
      <c r="J20" s="48">
        <f>SUM(J18+J16+J14+J12+J10+J8+J6)</f>
        <v>38.80020000000001</v>
      </c>
      <c r="K20" s="26">
        <f>100*J20/B20</f>
        <v>59.327220554431435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&amp;L&amp;8&amp;A&amp;C189&amp;R&amp;8&amp;F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3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102">
      <c r="A2" s="20" t="s">
        <v>80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12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'15) misura 7'!B6+'16) misura 8'!B6</f>
        <v>0</v>
      </c>
      <c r="C6" s="5" t="e">
        <f>100*B6/B6</f>
        <v>#DIV/0!</v>
      </c>
      <c r="D6" s="35">
        <f>'15) misura 7'!D6+'16) misura 8'!D6</f>
        <v>0</v>
      </c>
      <c r="E6" s="5" t="e">
        <f>100*D6/B6</f>
        <v>#DIV/0!</v>
      </c>
      <c r="F6" s="35">
        <f>'15) misura 7'!F6+'16) misura 8'!F6</f>
        <v>0</v>
      </c>
      <c r="G6" s="5" t="e">
        <f>100*F6/B6</f>
        <v>#DIV/0!</v>
      </c>
      <c r="H6" s="35">
        <f>'15) misura 7'!H6+'16) misura 8'!H6</f>
        <v>0</v>
      </c>
      <c r="I6" s="5" t="e">
        <f>100*H6/B6</f>
        <v>#DIV/0!</v>
      </c>
      <c r="J6" s="35">
        <f>'15) misura 7'!J6+'16) misura 8'!J6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'15) misura 7'!B8+'16) misura 8'!B8</f>
        <v>0.07500000000000001</v>
      </c>
      <c r="C8" s="23">
        <f>100*B8/B8</f>
        <v>100</v>
      </c>
      <c r="D8" s="35">
        <f>'15) misura 7'!D8+'16) misura 8'!D8</f>
        <v>0.037500000000000006</v>
      </c>
      <c r="E8" s="23">
        <f>100*D8/B8</f>
        <v>50</v>
      </c>
      <c r="F8" s="35">
        <f>'15) misura 7'!F8+'16) misura 8'!F8</f>
        <v>0.026250000000000002</v>
      </c>
      <c r="G8" s="23">
        <f>100*F8/B8</f>
        <v>35</v>
      </c>
      <c r="H8" s="35">
        <f>'15) misura 7'!H8+'16) misura 8'!H8</f>
        <v>0.011250000000000001</v>
      </c>
      <c r="I8" s="23">
        <f>100*H8/B8</f>
        <v>15</v>
      </c>
      <c r="J8" s="35">
        <f>'15) misura 7'!J8+'16) misura 8'!J8</f>
        <v>0</v>
      </c>
      <c r="K8" s="25">
        <f>100*J8/B8</f>
        <v>0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'15) misura 7'!B10+'16) misura 8'!B10</f>
        <v>0.2194</v>
      </c>
      <c r="C10" s="23">
        <f>100*B10/B10</f>
        <v>100</v>
      </c>
      <c r="D10" s="35">
        <f>'15) misura 7'!D10+'16) misura 8'!D10</f>
        <v>0.0924824</v>
      </c>
      <c r="E10" s="23">
        <f>100*D10/B10</f>
        <v>42.152415679124886</v>
      </c>
      <c r="F10" s="35">
        <f>'15) misura 7'!F10+'16) misura 8'!F10</f>
        <v>0.07702632</v>
      </c>
      <c r="G10" s="23">
        <f>100*F10/B10</f>
        <v>35.10771194165907</v>
      </c>
      <c r="H10" s="35">
        <f>'15) misura 7'!H10+'16) misura 8'!H10</f>
        <v>0.033011280000000004</v>
      </c>
      <c r="I10" s="23">
        <f>100*H10/B10</f>
        <v>15.04616226071103</v>
      </c>
      <c r="J10" s="35">
        <f>'15) misura 7'!J10+'16) misura 8'!J10</f>
        <v>0.016880000000000003</v>
      </c>
      <c r="K10" s="25">
        <f>100*J10/B10</f>
        <v>7.693710118505014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5">
        <f>'15) misura 7'!B12+'16) misura 8'!B12</f>
        <v>0.325</v>
      </c>
      <c r="C12" s="23">
        <f>100*B12/B12</f>
        <v>100</v>
      </c>
      <c r="D12" s="35">
        <f>'15) misura 7'!D12+'16) misura 8'!D12</f>
        <v>0.12374</v>
      </c>
      <c r="E12" s="23">
        <f>100*D12/B12</f>
        <v>38.073846153846155</v>
      </c>
      <c r="F12" s="35">
        <f>'15) misura 7'!F12+'16) misura 8'!F12</f>
        <v>0.114282</v>
      </c>
      <c r="G12" s="23">
        <f>100*F12/B12</f>
        <v>35.16369230769231</v>
      </c>
      <c r="H12" s="35">
        <f>'15) misura 7'!H12+'16) misura 8'!H12</f>
        <v>0.048977999999999994</v>
      </c>
      <c r="I12" s="23">
        <f>100*H12/B12</f>
        <v>15.070153846153843</v>
      </c>
      <c r="J12" s="5">
        <f>'15) misura 7'!J12+'16) misura 8'!J12</f>
        <v>0.038</v>
      </c>
      <c r="K12" s="25">
        <f>100*J12/B12</f>
        <v>11.692307692307692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5">
        <f>'15) misura 7'!B14+'16) misura 8'!B14</f>
        <v>0.325</v>
      </c>
      <c r="C14" s="23">
        <f>100*B14/B14</f>
        <v>100</v>
      </c>
      <c r="D14" s="35">
        <f>'15) misura 7'!D14+'16) misura 8'!D14</f>
        <v>0.12374</v>
      </c>
      <c r="E14" s="23">
        <f>100*D14/B14</f>
        <v>38.073846153846155</v>
      </c>
      <c r="F14" s="35">
        <f>'15) misura 7'!F14+'16) misura 8'!F14</f>
        <v>0.114282</v>
      </c>
      <c r="G14" s="23">
        <f>100*F14/B14</f>
        <v>35.16369230769231</v>
      </c>
      <c r="H14" s="35">
        <f>'15) misura 7'!H14+'16) misura 8'!H14</f>
        <v>0.048977999999999994</v>
      </c>
      <c r="I14" s="23">
        <f>100*H14/B14</f>
        <v>15.070153846153843</v>
      </c>
      <c r="J14" s="5">
        <f>'15) misura 7'!J14+'16) misura 8'!J14</f>
        <v>0.038</v>
      </c>
      <c r="K14" s="25">
        <f>100*J14/B14</f>
        <v>11.692307692307692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5">
        <f>'15) misura 7'!B16+'16) misura 8'!B16</f>
        <v>0.325</v>
      </c>
      <c r="C16" s="23">
        <f>100*B16/B16</f>
        <v>100</v>
      </c>
      <c r="D16" s="35">
        <f>'15) misura 7'!D16+'16) misura 8'!D16</f>
        <v>0.12374</v>
      </c>
      <c r="E16" s="23">
        <f>100*D16/B16</f>
        <v>38.073846153846155</v>
      </c>
      <c r="F16" s="35">
        <f>'15) misura 7'!F16+'16) misura 8'!F16</f>
        <v>0.114282</v>
      </c>
      <c r="G16" s="23">
        <f>100*F16/B16</f>
        <v>35.16369230769231</v>
      </c>
      <c r="H16" s="35">
        <f>'15) misura 7'!H16+'16) misura 8'!H16</f>
        <v>0.048977999999999994</v>
      </c>
      <c r="I16" s="23">
        <f>100*H16/B16</f>
        <v>15.070153846153843</v>
      </c>
      <c r="J16" s="5">
        <f>'15) misura 7'!J16+'16) misura 8'!J16</f>
        <v>0.038</v>
      </c>
      <c r="K16" s="25">
        <f>100*J16/B16</f>
        <v>11.692307692307692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5">
        <f>'15) misura 7'!B18+'16) misura 8'!B18</f>
        <v>0.325</v>
      </c>
      <c r="C18" s="23">
        <f>100*B18/B18</f>
        <v>100</v>
      </c>
      <c r="D18" s="35">
        <f>'15) misura 7'!D18+'16) misura 8'!D18</f>
        <v>0.12374</v>
      </c>
      <c r="E18" s="23">
        <f>100*D18/B18</f>
        <v>38.073846153846155</v>
      </c>
      <c r="F18" s="35">
        <f>'15) misura 7'!F18+'16) misura 8'!F18</f>
        <v>0.114282</v>
      </c>
      <c r="G18" s="23">
        <f>100*F18/B18</f>
        <v>35.16369230769231</v>
      </c>
      <c r="H18" s="35">
        <f>'15) misura 7'!H18+'16) misura 8'!H18</f>
        <v>0.048977999999999994</v>
      </c>
      <c r="I18" s="23">
        <f>100*H18/B18</f>
        <v>15.070153846153843</v>
      </c>
      <c r="J18" s="5">
        <f>'15) misura 7'!J18+'16) misura 8'!J18</f>
        <v>0.038</v>
      </c>
      <c r="K18" s="25">
        <f>100*J18/B18</f>
        <v>11.692307692307692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1.5944</v>
      </c>
      <c r="C20" s="24">
        <f>100*B20/B20</f>
        <v>100</v>
      </c>
      <c r="D20" s="48">
        <f>SUM(D18+D16+D14+D12+D10+D8+D6)</f>
        <v>0.6249424</v>
      </c>
      <c r="E20" s="24">
        <f>100*D20/B20</f>
        <v>39.196086302057196</v>
      </c>
      <c r="F20" s="48">
        <f>SUM(F18+F16+F14+F12+F10+F8+F6)</f>
        <v>0.56040432</v>
      </c>
      <c r="G20" s="24">
        <f>100*F20/B20</f>
        <v>35.148289011540385</v>
      </c>
      <c r="H20" s="48">
        <f>SUM(H18+H16+H14+H12+H10+H8+H6)</f>
        <v>0.24017328</v>
      </c>
      <c r="I20" s="24">
        <f>100*H20/B20</f>
        <v>15.06355243351731</v>
      </c>
      <c r="J20" s="48">
        <f>SUM(J18+J16+J14+J12+J10+J8+J6)</f>
        <v>0.16888</v>
      </c>
      <c r="K20" s="26">
        <f>100*J20/B20</f>
        <v>10.5920722528851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&amp;L&amp;8&amp;A&amp;C194&amp;R&amp;8&amp;F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2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52" customWidth="1"/>
    <col min="3" max="3" width="9.57421875" style="28" customWidth="1"/>
    <col min="4" max="4" width="11.421875" style="52" customWidth="1"/>
    <col min="5" max="5" width="9.7109375" style="28" customWidth="1"/>
    <col min="6" max="6" width="11.421875" style="52" customWidth="1"/>
    <col min="7" max="7" width="9.7109375" style="28" customWidth="1"/>
    <col min="8" max="8" width="11.421875" style="52" customWidth="1"/>
    <col min="9" max="9" width="9.28125" style="28" customWidth="1"/>
    <col min="10" max="10" width="11.421875" style="52" customWidth="1"/>
    <col min="11" max="11" width="9.28125" style="28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5"/>
      <c r="K1" s="67"/>
    </row>
    <row r="2" spans="1:17" s="2" customFormat="1" ht="63.75">
      <c r="A2" s="20" t="s">
        <v>81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13</v>
      </c>
      <c r="B4" s="53" t="s">
        <v>1</v>
      </c>
      <c r="C4" s="30" t="s">
        <v>0</v>
      </c>
      <c r="D4" s="53" t="s">
        <v>1</v>
      </c>
      <c r="E4" s="30" t="s">
        <v>0</v>
      </c>
      <c r="F4" s="53" t="s">
        <v>1</v>
      </c>
      <c r="G4" s="30" t="s">
        <v>0</v>
      </c>
      <c r="H4" s="53" t="s">
        <v>1</v>
      </c>
      <c r="I4" s="30" t="s">
        <v>0</v>
      </c>
      <c r="J4" s="53" t="s">
        <v>1</v>
      </c>
      <c r="K4" s="31" t="s">
        <v>0</v>
      </c>
    </row>
    <row r="5" spans="1:11" ht="12.75">
      <c r="A5" s="12" t="s">
        <v>36</v>
      </c>
      <c r="B5" s="54"/>
      <c r="C5" s="33"/>
      <c r="D5" s="54"/>
      <c r="E5" s="33"/>
      <c r="F5" s="54"/>
      <c r="G5" s="33"/>
      <c r="H5" s="54"/>
      <c r="I5" s="33"/>
      <c r="J5" s="54"/>
      <c r="K5" s="34"/>
    </row>
    <row r="6" spans="1:11" ht="12.75">
      <c r="A6" s="14"/>
      <c r="B6" s="35">
        <v>0</v>
      </c>
      <c r="C6" s="50" t="e">
        <f>100*B6/B6</f>
        <v>#DIV/0!</v>
      </c>
      <c r="D6" s="35">
        <f>B6*0.15</f>
        <v>0</v>
      </c>
      <c r="E6" s="50" t="e">
        <f>100*D6/B6</f>
        <v>#DIV/0!</v>
      </c>
      <c r="F6" s="35">
        <f>B6*0.21</f>
        <v>0</v>
      </c>
      <c r="G6" s="23" t="e">
        <f>100*F6/B6</f>
        <v>#DIV/0!</v>
      </c>
      <c r="H6" s="35">
        <f>B6*0.09</f>
        <v>0</v>
      </c>
      <c r="I6" s="23" t="e">
        <f>100*H6/B6</f>
        <v>#DIV/0!</v>
      </c>
      <c r="J6" s="35">
        <f>B6-D6-F6-H6</f>
        <v>0</v>
      </c>
      <c r="K6" s="25" t="e">
        <f>100*J6/B6</f>
        <v>#DIV/0!</v>
      </c>
    </row>
    <row r="7" spans="1:11" ht="12.75">
      <c r="A7" s="15" t="s">
        <v>37</v>
      </c>
      <c r="B7" s="55"/>
      <c r="C7" s="38"/>
      <c r="D7" s="55"/>
      <c r="E7" s="38"/>
      <c r="F7" s="55"/>
      <c r="G7" s="38"/>
      <c r="H7" s="55"/>
      <c r="I7" s="38"/>
      <c r="J7" s="55"/>
      <c r="K7" s="56"/>
    </row>
    <row r="8" spans="1:11" ht="12.75">
      <c r="A8" s="14"/>
      <c r="B8" s="35">
        <f>5+(0.161/0.15)-1</f>
        <v>5.073333333333333</v>
      </c>
      <c r="C8" s="23">
        <f>100*B8/B8</f>
        <v>100</v>
      </c>
      <c r="D8" s="35">
        <f>B8*0.15</f>
        <v>0.761</v>
      </c>
      <c r="E8" s="23">
        <f>100*D8/B8</f>
        <v>15</v>
      </c>
      <c r="F8" s="35">
        <f>B8*0.21</f>
        <v>1.0654</v>
      </c>
      <c r="G8" s="23">
        <f>100*F8/B8</f>
        <v>21</v>
      </c>
      <c r="H8" s="35">
        <f>B8*0.09</f>
        <v>0.45659999999999995</v>
      </c>
      <c r="I8" s="23">
        <f>100*H8/B8</f>
        <v>9</v>
      </c>
      <c r="J8" s="35">
        <f>B8-D8-F8-H8</f>
        <v>2.7903333333333333</v>
      </c>
      <c r="K8" s="25">
        <f>100*J8/B8</f>
        <v>55.00000000000001</v>
      </c>
    </row>
    <row r="9" spans="1:11" ht="12.75">
      <c r="A9" s="15" t="s">
        <v>38</v>
      </c>
      <c r="B9" s="55"/>
      <c r="C9" s="38"/>
      <c r="D9" s="55"/>
      <c r="E9" s="38"/>
      <c r="F9" s="55"/>
      <c r="G9" s="38"/>
      <c r="H9" s="55"/>
      <c r="I9" s="38"/>
      <c r="J9" s="55"/>
      <c r="K9" s="56"/>
    </row>
    <row r="10" spans="1:11" ht="12.75">
      <c r="A10" s="14"/>
      <c r="B10" s="35">
        <f>8-(0.351*(50/100)/0.15)-1</f>
        <v>5.83</v>
      </c>
      <c r="C10" s="23">
        <f>100*B10/B10</f>
        <v>100</v>
      </c>
      <c r="D10" s="35">
        <f>B10*0.15</f>
        <v>0.8744999999999999</v>
      </c>
      <c r="E10" s="23">
        <f>100*D10/B10</f>
        <v>14.999999999999998</v>
      </c>
      <c r="F10" s="35">
        <f>B10*0.21</f>
        <v>1.2243</v>
      </c>
      <c r="G10" s="23">
        <f>100*F10/B10</f>
        <v>21</v>
      </c>
      <c r="H10" s="35">
        <f>B10*0.09</f>
        <v>0.5246999999999999</v>
      </c>
      <c r="I10" s="23">
        <f>100*H10/B10</f>
        <v>8.999999999999998</v>
      </c>
      <c r="J10" s="35">
        <f>B10-D10-F10-H10</f>
        <v>3.2065</v>
      </c>
      <c r="K10" s="25">
        <f>100*J10/B10</f>
        <v>55.00000000000001</v>
      </c>
    </row>
    <row r="11" spans="1:11" ht="12.75">
      <c r="A11" s="15" t="s">
        <v>39</v>
      </c>
      <c r="B11" s="55"/>
      <c r="C11" s="38"/>
      <c r="D11" s="55"/>
      <c r="E11" s="38"/>
      <c r="F11" s="55"/>
      <c r="G11" s="38"/>
      <c r="H11" s="55"/>
      <c r="I11" s="38"/>
      <c r="J11" s="55"/>
      <c r="K11" s="56"/>
    </row>
    <row r="12" spans="1:11" ht="12.75">
      <c r="A12" s="14"/>
      <c r="B12" s="35">
        <f>10-(1.116*(30/100)/0.15)-(0.08/0.15)-1</f>
        <v>6.234666666666667</v>
      </c>
      <c r="C12" s="23">
        <f>100*B12/B12</f>
        <v>100</v>
      </c>
      <c r="D12" s="35">
        <f>B12*0.15</f>
        <v>0.9351999999999999</v>
      </c>
      <c r="E12" s="23">
        <f>100*D12/B12</f>
        <v>15</v>
      </c>
      <c r="F12" s="35">
        <f>B12*0.21</f>
        <v>1.30928</v>
      </c>
      <c r="G12" s="23">
        <f>100*F12/B12</f>
        <v>21</v>
      </c>
      <c r="H12" s="35">
        <f>B12*0.09</f>
        <v>0.56112</v>
      </c>
      <c r="I12" s="23">
        <f>100*H12/B12</f>
        <v>9</v>
      </c>
      <c r="J12" s="35">
        <f>B12-D12-F12-H12</f>
        <v>3.4290666666666665</v>
      </c>
      <c r="K12" s="25">
        <f>100*J12/B12</f>
        <v>54.99999999999999</v>
      </c>
    </row>
    <row r="13" spans="1:11" ht="12.75">
      <c r="A13" s="15" t="s">
        <v>40</v>
      </c>
      <c r="B13" s="55"/>
      <c r="C13" s="38"/>
      <c r="D13" s="55"/>
      <c r="E13" s="38"/>
      <c r="F13" s="55"/>
      <c r="G13" s="38"/>
      <c r="H13" s="55"/>
      <c r="I13" s="38"/>
      <c r="J13" s="55"/>
      <c r="K13" s="56"/>
    </row>
    <row r="14" spans="1:11" ht="12.75">
      <c r="A14" s="14"/>
      <c r="B14" s="35">
        <f>12-(0.383*(40/100)/0.15)-(0.161/0.15)-1</f>
        <v>8.905333333333333</v>
      </c>
      <c r="C14" s="23">
        <f>100*B14/B14</f>
        <v>100</v>
      </c>
      <c r="D14" s="35">
        <f>B14*0.15</f>
        <v>1.3357999999999999</v>
      </c>
      <c r="E14" s="23">
        <f>100*D14/B14</f>
        <v>14.999999999999998</v>
      </c>
      <c r="F14" s="35">
        <f>B14*0.21</f>
        <v>1.8701199999999998</v>
      </c>
      <c r="G14" s="23">
        <f>100*F14/B14</f>
        <v>20.999999999999996</v>
      </c>
      <c r="H14" s="35">
        <f>B14*0.09</f>
        <v>0.80148</v>
      </c>
      <c r="I14" s="23">
        <f>100*H14/B14</f>
        <v>9</v>
      </c>
      <c r="J14" s="35">
        <f>B14-D14-F14-H14</f>
        <v>4.8979333333333335</v>
      </c>
      <c r="K14" s="25">
        <f>100*J14/B14</f>
        <v>55</v>
      </c>
    </row>
    <row r="15" spans="1:11" ht="12.75">
      <c r="A15" s="15" t="s">
        <v>41</v>
      </c>
      <c r="B15" s="55"/>
      <c r="C15" s="38"/>
      <c r="D15" s="55"/>
      <c r="E15" s="38"/>
      <c r="F15" s="55"/>
      <c r="G15" s="38"/>
      <c r="H15" s="55"/>
      <c r="I15" s="38"/>
      <c r="J15" s="55"/>
      <c r="K15" s="56"/>
    </row>
    <row r="16" spans="1:11" ht="12.75">
      <c r="A16" s="14"/>
      <c r="B16" s="35">
        <f>8+(50-47.768)-(0.056/0.15)-1</f>
        <v>8.858666666666666</v>
      </c>
      <c r="C16" s="23">
        <f>100*B16/B16</f>
        <v>100</v>
      </c>
      <c r="D16" s="35">
        <f>B16*0.15</f>
        <v>1.3288</v>
      </c>
      <c r="E16" s="23">
        <f>100*D16/B16</f>
        <v>15</v>
      </c>
      <c r="F16" s="35">
        <f>B16*0.21</f>
        <v>1.8603199999999998</v>
      </c>
      <c r="G16" s="23">
        <f>100*F16/B16</f>
        <v>21</v>
      </c>
      <c r="H16" s="35">
        <f>B16*0.09</f>
        <v>0.7972799999999999</v>
      </c>
      <c r="I16" s="23">
        <f>100*H16/B16</f>
        <v>9</v>
      </c>
      <c r="J16" s="35">
        <f>B16-D16-F16-H16</f>
        <v>4.8722666666666665</v>
      </c>
      <c r="K16" s="25">
        <f>100*J16/B16</f>
        <v>55</v>
      </c>
    </row>
    <row r="17" spans="1:11" ht="12.75">
      <c r="A17" s="15" t="s">
        <v>42</v>
      </c>
      <c r="B17" s="55"/>
      <c r="C17" s="38"/>
      <c r="D17" s="55"/>
      <c r="E17" s="38"/>
      <c r="F17" s="55"/>
      <c r="G17" s="38"/>
      <c r="H17" s="55"/>
      <c r="I17" s="38"/>
      <c r="J17" s="55"/>
      <c r="K17" s="56"/>
    </row>
    <row r="18" spans="1:11" ht="12.75">
      <c r="A18" s="14"/>
      <c r="B18" s="35">
        <f>7+(50-49.903)+(50-49.467)+(50-48.979)+(50-48.926)+(50-49.627)-1</f>
        <v>9.097999999999999</v>
      </c>
      <c r="C18" s="23">
        <f>100*B18/B18</f>
        <v>100</v>
      </c>
      <c r="D18" s="35">
        <f>B18*0.15</f>
        <v>1.3646999999999998</v>
      </c>
      <c r="E18" s="23">
        <f>100*D18/B18</f>
        <v>14.999999999999998</v>
      </c>
      <c r="F18" s="35">
        <f>B18*0.21</f>
        <v>1.9105799999999997</v>
      </c>
      <c r="G18" s="23">
        <f>100*F18/B18</f>
        <v>21</v>
      </c>
      <c r="H18" s="35">
        <f>B18*0.09</f>
        <v>0.8188199999999999</v>
      </c>
      <c r="I18" s="23">
        <f>100*H18/B18</f>
        <v>9</v>
      </c>
      <c r="J18" s="35">
        <f>B18-D18-F18-H18</f>
        <v>5.0039</v>
      </c>
      <c r="K18" s="25">
        <f>100*J18/B18</f>
        <v>55.00000000000001</v>
      </c>
    </row>
    <row r="19" spans="1:11" s="1" customFormat="1" ht="12.75">
      <c r="A19" s="17" t="s">
        <v>43</v>
      </c>
      <c r="B19" s="57"/>
      <c r="C19" s="44"/>
      <c r="D19" s="57"/>
      <c r="E19" s="44"/>
      <c r="F19" s="57"/>
      <c r="G19" s="44"/>
      <c r="H19" s="57"/>
      <c r="I19" s="44"/>
      <c r="J19" s="57"/>
      <c r="K19" s="58"/>
    </row>
    <row r="20" spans="1:11" s="1" customFormat="1" ht="13.5" thickBot="1">
      <c r="A20" s="19"/>
      <c r="B20" s="48">
        <f>SUM(B6+B8+B10+B12+B14+B16+B18)</f>
        <v>43.99999999999999</v>
      </c>
      <c r="C20" s="24">
        <f>100*B20/B20</f>
        <v>100</v>
      </c>
      <c r="D20" s="48">
        <f>SUM(D6+D8+D10+D12+D14+D16+D18)</f>
        <v>6.6</v>
      </c>
      <c r="E20" s="24">
        <f>100*D20/B20</f>
        <v>15.000000000000002</v>
      </c>
      <c r="F20" s="48">
        <f>SUM(F6+F8+F10+F12+F14+F16+F18)</f>
        <v>9.24</v>
      </c>
      <c r="G20" s="24">
        <f>100*F20/B20</f>
        <v>21.000000000000004</v>
      </c>
      <c r="H20" s="48">
        <f>SUM(H6+H8+H10+H12+H14+H16+H18)</f>
        <v>3.959999999999999</v>
      </c>
      <c r="I20" s="24">
        <f>100*H20/B20</f>
        <v>8.999999999999998</v>
      </c>
      <c r="J20" s="48">
        <f>SUM(J6+J8+J10+J12+J14+J16+J18)</f>
        <v>24.200000000000003</v>
      </c>
      <c r="K20" s="26">
        <f>100*J20/B20</f>
        <v>55.00000000000002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&amp;L&amp;8&amp;A&amp;C182&amp;R&amp;8&amp;F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2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51">
      <c r="A2" s="20" t="s">
        <v>82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14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23" t="e">
        <f>100*B6/B6</f>
        <v>#DIV/0!</v>
      </c>
      <c r="D6" s="35">
        <f>B6*0.5</f>
        <v>0</v>
      </c>
      <c r="E6" s="23" t="e">
        <f>100*D6/B6</f>
        <v>#DIV/0!</v>
      </c>
      <c r="F6" s="35">
        <f>D6*0.7</f>
        <v>0</v>
      </c>
      <c r="G6" s="5" t="e">
        <f>100*F6/B6</f>
        <v>#DIV/0!</v>
      </c>
      <c r="H6" s="35">
        <f>B6-D6-F6</f>
        <v>0</v>
      </c>
      <c r="I6" s="5" t="e">
        <f>100*H6/B6</f>
        <v>#DIV/0!</v>
      </c>
      <c r="J6" s="35">
        <f>B6-D6-F6-H6</f>
        <v>0</v>
      </c>
      <c r="K6" s="25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3.5/6</f>
        <v>0.5833333333333334</v>
      </c>
      <c r="C8" s="23">
        <f>100*B8/B8</f>
        <v>100</v>
      </c>
      <c r="D8" s="35">
        <f>B8*0.5</f>
        <v>0.2916666666666667</v>
      </c>
      <c r="E8" s="23">
        <f>100*D8/B8</f>
        <v>50</v>
      </c>
      <c r="F8" s="35">
        <f>D8*0.7</f>
        <v>0.20416666666666666</v>
      </c>
      <c r="G8" s="23">
        <f>100*F8/B8</f>
        <v>35</v>
      </c>
      <c r="H8" s="35">
        <f>B8-D8-F8</f>
        <v>0.08750000000000002</v>
      </c>
      <c r="I8" s="23">
        <f>100*H8/B8</f>
        <v>15.000000000000002</v>
      </c>
      <c r="J8" s="35">
        <f>B8-D8-F8-H8</f>
        <v>0</v>
      </c>
      <c r="K8" s="25">
        <f>100*J8/B8</f>
        <v>0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3.5/6</f>
        <v>0.5833333333333334</v>
      </c>
      <c r="C10" s="23">
        <f>100*B10/B10</f>
        <v>100</v>
      </c>
      <c r="D10" s="35">
        <f>B10*0.5</f>
        <v>0.2916666666666667</v>
      </c>
      <c r="E10" s="23">
        <f>100*D10/B10</f>
        <v>50</v>
      </c>
      <c r="F10" s="35">
        <f>D10*0.7</f>
        <v>0.20416666666666666</v>
      </c>
      <c r="G10" s="23">
        <f>100*F10/B10</f>
        <v>35</v>
      </c>
      <c r="H10" s="35">
        <f>B10-D10-F10</f>
        <v>0.08750000000000002</v>
      </c>
      <c r="I10" s="23">
        <f>100*H10/B10</f>
        <v>15.000000000000002</v>
      </c>
      <c r="J10" s="35">
        <f>B10-D10-F10-H10</f>
        <v>0</v>
      </c>
      <c r="K10" s="25">
        <f>100*J10/B10</f>
        <v>0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3.5/6</f>
        <v>0.5833333333333334</v>
      </c>
      <c r="C12" s="23">
        <f>100*B12/B12</f>
        <v>100</v>
      </c>
      <c r="D12" s="35">
        <f>B12*0.5</f>
        <v>0.2916666666666667</v>
      </c>
      <c r="E12" s="23">
        <f>100*D12/B12</f>
        <v>50</v>
      </c>
      <c r="F12" s="35">
        <f>D12*0.7</f>
        <v>0.20416666666666666</v>
      </c>
      <c r="G12" s="23">
        <f>100*F12/B12</f>
        <v>35</v>
      </c>
      <c r="H12" s="35">
        <f>B12-D12-F12</f>
        <v>0.08750000000000002</v>
      </c>
      <c r="I12" s="23">
        <f>100*H12/B12</f>
        <v>15.000000000000002</v>
      </c>
      <c r="J12" s="35">
        <f>B12-D12-F12-H12</f>
        <v>0</v>
      </c>
      <c r="K12" s="25">
        <f>100*J12/B12</f>
        <v>0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3.5/6</f>
        <v>0.5833333333333334</v>
      </c>
      <c r="C14" s="23">
        <f>100*B14/B14</f>
        <v>100</v>
      </c>
      <c r="D14" s="35">
        <f>B14*0.5</f>
        <v>0.2916666666666667</v>
      </c>
      <c r="E14" s="23">
        <f>100*D14/B14</f>
        <v>50</v>
      </c>
      <c r="F14" s="35">
        <f>D14*0.7</f>
        <v>0.20416666666666666</v>
      </c>
      <c r="G14" s="23">
        <f>100*F14/B14</f>
        <v>35</v>
      </c>
      <c r="H14" s="35">
        <f>B14-D14-F14</f>
        <v>0.08750000000000002</v>
      </c>
      <c r="I14" s="23">
        <f>100*H14/B14</f>
        <v>15.000000000000002</v>
      </c>
      <c r="J14" s="35">
        <f>B14-D14-F14-H14</f>
        <v>0</v>
      </c>
      <c r="K14" s="25">
        <f>100*J14/B14</f>
        <v>0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3.5/6</f>
        <v>0.5833333333333334</v>
      </c>
      <c r="C16" s="23">
        <f>100*B16/B16</f>
        <v>100</v>
      </c>
      <c r="D16" s="35">
        <f>B16*0.5</f>
        <v>0.2916666666666667</v>
      </c>
      <c r="E16" s="23">
        <f>100*D16/B16</f>
        <v>50</v>
      </c>
      <c r="F16" s="35">
        <f>D16*0.7</f>
        <v>0.20416666666666666</v>
      </c>
      <c r="G16" s="23">
        <f>100*F16/B16</f>
        <v>35</v>
      </c>
      <c r="H16" s="35">
        <f>B16-D16-F16</f>
        <v>0.08750000000000002</v>
      </c>
      <c r="I16" s="23">
        <f>100*H16/B16</f>
        <v>15.000000000000002</v>
      </c>
      <c r="J16" s="35">
        <f>B16-D16-F16-H16</f>
        <v>0</v>
      </c>
      <c r="K16" s="25">
        <f>100*J16/B16</f>
        <v>0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3.5/6</f>
        <v>0.5833333333333334</v>
      </c>
      <c r="C18" s="23">
        <f>100*B18/B18</f>
        <v>100</v>
      </c>
      <c r="D18" s="35">
        <f>B18*0.5</f>
        <v>0.2916666666666667</v>
      </c>
      <c r="E18" s="23">
        <f>100*D18/B18</f>
        <v>50</v>
      </c>
      <c r="F18" s="35">
        <f>D18*0.7</f>
        <v>0.20416666666666666</v>
      </c>
      <c r="G18" s="23">
        <f>100*F18/B18</f>
        <v>35</v>
      </c>
      <c r="H18" s="35">
        <f>B18-D18-F18</f>
        <v>0.08750000000000002</v>
      </c>
      <c r="I18" s="23">
        <f>100*H18/B18</f>
        <v>15.000000000000002</v>
      </c>
      <c r="J18" s="35">
        <f>B18-D18-F18-H18</f>
        <v>0</v>
      </c>
      <c r="K18" s="25">
        <f>100*J18/B18</f>
        <v>0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3.5000000000000004</v>
      </c>
      <c r="C20" s="24">
        <f>100*B20/B20</f>
        <v>100</v>
      </c>
      <c r="D20" s="48">
        <f>SUM(D18+D16+D14+D12+D10+D8+D6)</f>
        <v>1.7500000000000002</v>
      </c>
      <c r="E20" s="24">
        <f>100*D20/B20</f>
        <v>50</v>
      </c>
      <c r="F20" s="48">
        <f>SUM(F18+F16+F14+F12+F10+F8+F6)</f>
        <v>1.2249999999999999</v>
      </c>
      <c r="G20" s="24">
        <f>100*F20/B20</f>
        <v>34.99999999999999</v>
      </c>
      <c r="H20" s="48">
        <f>SUM(H18+H16+H14+H12+H10+H8+H6)</f>
        <v>0.5250000000000001</v>
      </c>
      <c r="I20" s="24">
        <f>100*H20/B20</f>
        <v>15.000000000000002</v>
      </c>
      <c r="J20" s="48">
        <f>SUM(J18+J16+J14+J12+J10+J8+J6)</f>
        <v>0</v>
      </c>
      <c r="K20" s="26">
        <f>100*J20/B20</f>
        <v>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&amp;L&amp;8&amp;A&amp;C183&amp;R&amp;8&amp;F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2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38.25" customHeight="1">
      <c r="A2" s="20" t="s">
        <v>83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15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5" t="e">
        <f>100*B6/B6</f>
        <v>#DIV/0!</v>
      </c>
      <c r="D6" s="35">
        <f>B6*0.5</f>
        <v>0</v>
      </c>
      <c r="E6" s="5" t="e">
        <f>100*D6/B6</f>
        <v>#DIV/0!</v>
      </c>
      <c r="F6" s="35">
        <f>D6</f>
        <v>0</v>
      </c>
      <c r="G6" s="5" t="e">
        <f>100*F6/B6</f>
        <v>#DIV/0!</v>
      </c>
      <c r="H6" s="35">
        <f>B6-D6-F6</f>
        <v>0</v>
      </c>
      <c r="I6" s="5" t="e">
        <f>100*H6/B6</f>
        <v>#DIV/0!</v>
      </c>
      <c r="J6" s="35">
        <f>B6-D6-F6-H6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v>0</v>
      </c>
      <c r="C8" s="5" t="e">
        <f>100*B8/B8</f>
        <v>#DIV/0!</v>
      </c>
      <c r="D8" s="35">
        <f>B8*0.5</f>
        <v>0</v>
      </c>
      <c r="E8" s="5" t="e">
        <f>100*D8/B8</f>
        <v>#DIV/0!</v>
      </c>
      <c r="F8" s="35">
        <f>D8</f>
        <v>0</v>
      </c>
      <c r="G8" s="5" t="e">
        <f>100*F8/B8</f>
        <v>#DIV/0!</v>
      </c>
      <c r="H8" s="35">
        <f>B8-D8-F8</f>
        <v>0</v>
      </c>
      <c r="I8" s="5" t="e">
        <f>100*H8/B8</f>
        <v>#DIV/0!</v>
      </c>
      <c r="J8" s="35">
        <f>B8-D8-F8-H8</f>
        <v>0</v>
      </c>
      <c r="K8" s="10" t="e">
        <f>100*J8/B8</f>
        <v>#DIV/0!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0.75/5</f>
        <v>0.15</v>
      </c>
      <c r="C10" s="23">
        <f>100*B10/B10</f>
        <v>100</v>
      </c>
      <c r="D10" s="35">
        <f>B10*0.5</f>
        <v>0.075</v>
      </c>
      <c r="E10" s="23">
        <f>100*D10/B10</f>
        <v>50</v>
      </c>
      <c r="F10" s="35">
        <f>D10</f>
        <v>0.075</v>
      </c>
      <c r="G10" s="23">
        <f>100*F10/B10</f>
        <v>50</v>
      </c>
      <c r="H10" s="35">
        <f>B10-D10-F10</f>
        <v>0</v>
      </c>
      <c r="I10" s="23">
        <f>100*H10/B10</f>
        <v>0</v>
      </c>
      <c r="J10" s="35">
        <f>B10-D10-F10-H10</f>
        <v>0</v>
      </c>
      <c r="K10" s="25">
        <f>100*J10/B10</f>
        <v>0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0.75/5</f>
        <v>0.15</v>
      </c>
      <c r="C12" s="23">
        <f>100*B12/B12</f>
        <v>100</v>
      </c>
      <c r="D12" s="35">
        <f>B12*0.5</f>
        <v>0.075</v>
      </c>
      <c r="E12" s="23">
        <f>100*D12/B12</f>
        <v>50</v>
      </c>
      <c r="F12" s="35">
        <f>D12</f>
        <v>0.075</v>
      </c>
      <c r="G12" s="23">
        <f>100*F12/B12</f>
        <v>50</v>
      </c>
      <c r="H12" s="35">
        <f>B12-D12-F12</f>
        <v>0</v>
      </c>
      <c r="I12" s="23">
        <f>100*H12/B12</f>
        <v>0</v>
      </c>
      <c r="J12" s="35">
        <f>B12-D12-F12-H12</f>
        <v>0</v>
      </c>
      <c r="K12" s="25">
        <f>100*J12/B12</f>
        <v>0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0.75/5</f>
        <v>0.15</v>
      </c>
      <c r="C14" s="23">
        <f>100*B14/B14</f>
        <v>100</v>
      </c>
      <c r="D14" s="35">
        <f>B14*0.5</f>
        <v>0.075</v>
      </c>
      <c r="E14" s="23">
        <f>100*D14/B14</f>
        <v>50</v>
      </c>
      <c r="F14" s="35">
        <f>D14</f>
        <v>0.075</v>
      </c>
      <c r="G14" s="23">
        <f>100*F14/B14</f>
        <v>50</v>
      </c>
      <c r="H14" s="35">
        <f>B14-D14-F14</f>
        <v>0</v>
      </c>
      <c r="I14" s="23">
        <f>100*H14/B14</f>
        <v>0</v>
      </c>
      <c r="J14" s="35">
        <f>B14-D14-F14-H14</f>
        <v>0</v>
      </c>
      <c r="K14" s="25">
        <f>100*J14/B14</f>
        <v>0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0.75/5</f>
        <v>0.15</v>
      </c>
      <c r="C16" s="23">
        <f>100*B16/B16</f>
        <v>100</v>
      </c>
      <c r="D16" s="35">
        <f>B16*0.5</f>
        <v>0.075</v>
      </c>
      <c r="E16" s="23">
        <f>100*D16/B16</f>
        <v>50</v>
      </c>
      <c r="F16" s="35">
        <f>D16</f>
        <v>0.075</v>
      </c>
      <c r="G16" s="23">
        <f>100*F16/B16</f>
        <v>50</v>
      </c>
      <c r="H16" s="35">
        <f>B16-D16-F16</f>
        <v>0</v>
      </c>
      <c r="I16" s="23">
        <f>100*H16/B16</f>
        <v>0</v>
      </c>
      <c r="J16" s="35">
        <f>B16-D16-F16-H16</f>
        <v>0</v>
      </c>
      <c r="K16" s="25">
        <f>100*J16/B16</f>
        <v>0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0.75/5</f>
        <v>0.15</v>
      </c>
      <c r="C18" s="23">
        <f>100*B18/B18</f>
        <v>100</v>
      </c>
      <c r="D18" s="35">
        <f>B18*0.5</f>
        <v>0.075</v>
      </c>
      <c r="E18" s="23">
        <f>100*D18/B18</f>
        <v>50</v>
      </c>
      <c r="F18" s="35">
        <f>D18</f>
        <v>0.075</v>
      </c>
      <c r="G18" s="23">
        <f>100*F18/B18</f>
        <v>50</v>
      </c>
      <c r="H18" s="35">
        <f>B18-D18-F18</f>
        <v>0</v>
      </c>
      <c r="I18" s="23">
        <f>100*H18/B18</f>
        <v>0</v>
      </c>
      <c r="J18" s="35">
        <f>B18-D18-F18-H18</f>
        <v>0</v>
      </c>
      <c r="K18" s="25">
        <f>100*J18/B18</f>
        <v>0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0.75</v>
      </c>
      <c r="C20" s="24">
        <f>100*B20/B20</f>
        <v>100</v>
      </c>
      <c r="D20" s="48">
        <f>SUM(D18+D16+D14+D12+D10+D8+D6)</f>
        <v>0.375</v>
      </c>
      <c r="E20" s="24">
        <f>100*D20/B20</f>
        <v>50</v>
      </c>
      <c r="F20" s="48">
        <f>SUM(F18+F16+F14+F12+F10+F8+F6)</f>
        <v>0.375</v>
      </c>
      <c r="G20" s="24">
        <f>100*F20/B20</f>
        <v>50</v>
      </c>
      <c r="H20" s="48">
        <f>SUM(H18+H16+H14+H12+H10+H8+H6)</f>
        <v>0</v>
      </c>
      <c r="I20" s="24">
        <f>100*H20/B20</f>
        <v>0</v>
      </c>
      <c r="J20" s="48">
        <f>SUM(J18+J16+J14+J12+J10+J8+J6)</f>
        <v>0</v>
      </c>
      <c r="K20" s="26">
        <f>100*J20/B20</f>
        <v>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&amp;L&amp;8&amp;A&amp;C184&amp;R&amp;8&amp;F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52" customWidth="1"/>
    <col min="3" max="3" width="9.57421875" style="28" customWidth="1"/>
    <col min="4" max="4" width="11.421875" style="52" customWidth="1"/>
    <col min="5" max="5" width="9.7109375" style="28" customWidth="1"/>
    <col min="6" max="6" width="11.421875" style="52" customWidth="1"/>
    <col min="7" max="7" width="9.7109375" style="28" customWidth="1"/>
    <col min="8" max="8" width="11.421875" style="52" customWidth="1"/>
    <col min="9" max="9" width="9.28125" style="28" customWidth="1"/>
    <col min="10" max="10" width="11.421875" style="52" customWidth="1"/>
    <col min="11" max="11" width="9.28125" style="28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5"/>
      <c r="K1" s="67"/>
    </row>
    <row r="2" spans="1:17" s="2" customFormat="1" ht="38.25">
      <c r="A2" s="20" t="s">
        <v>84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16</v>
      </c>
      <c r="B4" s="53" t="s">
        <v>1</v>
      </c>
      <c r="C4" s="30" t="s">
        <v>0</v>
      </c>
      <c r="D4" s="53" t="s">
        <v>1</v>
      </c>
      <c r="E4" s="30" t="s">
        <v>0</v>
      </c>
      <c r="F4" s="53" t="s">
        <v>1</v>
      </c>
      <c r="G4" s="30" t="s">
        <v>0</v>
      </c>
      <c r="H4" s="53" t="s">
        <v>1</v>
      </c>
      <c r="I4" s="30" t="s">
        <v>0</v>
      </c>
      <c r="J4" s="53" t="s">
        <v>1</v>
      </c>
      <c r="K4" s="31" t="s">
        <v>0</v>
      </c>
    </row>
    <row r="5" spans="1:11" ht="12.75">
      <c r="A5" s="12" t="s">
        <v>36</v>
      </c>
      <c r="B5" s="54"/>
      <c r="C5" s="33"/>
      <c r="D5" s="54"/>
      <c r="E5" s="33"/>
      <c r="F5" s="54"/>
      <c r="G5" s="33"/>
      <c r="H5" s="54"/>
      <c r="I5" s="33"/>
      <c r="J5" s="54"/>
      <c r="K5" s="34"/>
    </row>
    <row r="6" spans="1:11" ht="12.75">
      <c r="A6" s="14"/>
      <c r="B6" s="35">
        <v>0</v>
      </c>
      <c r="C6" s="50" t="e">
        <f>100*B6/B6</f>
        <v>#DIV/0!</v>
      </c>
      <c r="D6" s="35">
        <f>B6*0.315</f>
        <v>0</v>
      </c>
      <c r="E6" s="50" t="e">
        <f>100*D6/B6</f>
        <v>#DIV/0!</v>
      </c>
      <c r="F6" s="35">
        <f>B6*0.535*0.7</f>
        <v>0</v>
      </c>
      <c r="G6" s="50" t="e">
        <f>100*F6/B6</f>
        <v>#DIV/0!</v>
      </c>
      <c r="H6" s="35">
        <f>B6*0.16</f>
        <v>0</v>
      </c>
      <c r="I6" s="50" t="e">
        <f>100*H6/B6</f>
        <v>#DIV/0!</v>
      </c>
      <c r="J6" s="35">
        <f>B6-D6-F6-H6</f>
        <v>0</v>
      </c>
      <c r="K6" s="25" t="e">
        <f>100*J6/B6</f>
        <v>#DIV/0!</v>
      </c>
    </row>
    <row r="7" spans="1:11" ht="12.75">
      <c r="A7" s="15" t="s">
        <v>37</v>
      </c>
      <c r="B7" s="55"/>
      <c r="C7" s="38"/>
      <c r="D7" s="55"/>
      <c r="E7" s="38"/>
      <c r="F7" s="55"/>
      <c r="G7" s="38"/>
      <c r="H7" s="55"/>
      <c r="I7" s="38"/>
      <c r="J7" s="55"/>
      <c r="K7" s="56"/>
    </row>
    <row r="8" spans="1:11" ht="12.75">
      <c r="A8" s="14"/>
      <c r="B8" s="35">
        <f>0.05*0.318/0.4</f>
        <v>0.03975</v>
      </c>
      <c r="C8" s="23">
        <f>100*B8/B8</f>
        <v>100</v>
      </c>
      <c r="D8" s="35">
        <f>B8*0.315</f>
        <v>0.012521250000000001</v>
      </c>
      <c r="E8" s="23">
        <f>100*D8/B8</f>
        <v>31.500000000000004</v>
      </c>
      <c r="F8" s="35">
        <f>B8*0.535*0.7</f>
        <v>0.014886374999999999</v>
      </c>
      <c r="G8" s="23">
        <f>100*F8/B8</f>
        <v>37.449999999999996</v>
      </c>
      <c r="H8" s="35">
        <f>B8*0.535*0.3</f>
        <v>0.006379875</v>
      </c>
      <c r="I8" s="23">
        <f>100*H8/B8</f>
        <v>16.05</v>
      </c>
      <c r="J8" s="35">
        <f>B8-D8-F8-H8</f>
        <v>0.005962500000000001</v>
      </c>
      <c r="K8" s="25">
        <f>100*J8/B8</f>
        <v>15.000000000000002</v>
      </c>
    </row>
    <row r="9" spans="1:11" ht="12.75">
      <c r="A9" s="15" t="s">
        <v>38</v>
      </c>
      <c r="B9" s="55"/>
      <c r="C9" s="38"/>
      <c r="D9" s="55"/>
      <c r="E9" s="38"/>
      <c r="F9" s="55"/>
      <c r="G9" s="38"/>
      <c r="H9" s="55"/>
      <c r="I9" s="38"/>
      <c r="J9" s="55"/>
      <c r="K9" s="56"/>
    </row>
    <row r="10" spans="1:11" ht="12.75">
      <c r="A10" s="14"/>
      <c r="B10" s="35">
        <f>0.07*0.318/0.4</f>
        <v>0.055650000000000005</v>
      </c>
      <c r="C10" s="23">
        <f>100*B10/B10</f>
        <v>100</v>
      </c>
      <c r="D10" s="35">
        <f>B10*0.315</f>
        <v>0.01752975</v>
      </c>
      <c r="E10" s="23">
        <f>100*D10/B10</f>
        <v>31.499999999999996</v>
      </c>
      <c r="F10" s="35">
        <f>B10*0.535*0.7</f>
        <v>0.020840925000000003</v>
      </c>
      <c r="G10" s="23">
        <f>100*F10/B10</f>
        <v>37.449999999999996</v>
      </c>
      <c r="H10" s="35">
        <f>B10*0.535*0.3</f>
        <v>0.008931825000000001</v>
      </c>
      <c r="I10" s="23">
        <f>100*H10/B10</f>
        <v>16.05</v>
      </c>
      <c r="J10" s="35">
        <f>B10-D10-F10-H10</f>
        <v>0.008347500000000004</v>
      </c>
      <c r="K10" s="25">
        <f>100*J10/B10</f>
        <v>15.000000000000007</v>
      </c>
    </row>
    <row r="11" spans="1:11" ht="12.75">
      <c r="A11" s="15" t="s">
        <v>39</v>
      </c>
      <c r="B11" s="55"/>
      <c r="C11" s="38"/>
      <c r="D11" s="55"/>
      <c r="E11" s="38"/>
      <c r="F11" s="55"/>
      <c r="G11" s="38"/>
      <c r="H11" s="55"/>
      <c r="I11" s="38"/>
      <c r="J11" s="55"/>
      <c r="K11" s="56"/>
    </row>
    <row r="12" spans="1:11" ht="12.75">
      <c r="A12" s="14"/>
      <c r="B12" s="35">
        <f>0.07*0.318/0.4</f>
        <v>0.055650000000000005</v>
      </c>
      <c r="C12" s="23">
        <f>100*B12/B12</f>
        <v>100</v>
      </c>
      <c r="D12" s="35">
        <f>B12*0.315</f>
        <v>0.01752975</v>
      </c>
      <c r="E12" s="23">
        <f>100*D12/B12</f>
        <v>31.499999999999996</v>
      </c>
      <c r="F12" s="35">
        <f>B12*0.535*0.7</f>
        <v>0.020840925000000003</v>
      </c>
      <c r="G12" s="23">
        <f>100*F12/B12</f>
        <v>37.449999999999996</v>
      </c>
      <c r="H12" s="35">
        <f>B12*0.535*0.3</f>
        <v>0.008931825000000001</v>
      </c>
      <c r="I12" s="23">
        <f>100*H12/B12</f>
        <v>16.05</v>
      </c>
      <c r="J12" s="35">
        <f>B12-D12-F12-H12</f>
        <v>0.008347500000000004</v>
      </c>
      <c r="K12" s="25">
        <f>100*J12/B12</f>
        <v>15.000000000000007</v>
      </c>
    </row>
    <row r="13" spans="1:11" ht="12.75">
      <c r="A13" s="15" t="s">
        <v>40</v>
      </c>
      <c r="B13" s="55"/>
      <c r="C13" s="38"/>
      <c r="D13" s="55"/>
      <c r="E13" s="38"/>
      <c r="F13" s="55"/>
      <c r="G13" s="38"/>
      <c r="H13" s="55"/>
      <c r="I13" s="38"/>
      <c r="J13" s="55"/>
      <c r="K13" s="56"/>
    </row>
    <row r="14" spans="1:11" ht="12.75">
      <c r="A14" s="14"/>
      <c r="B14" s="35">
        <f>0.07*0.318/0.4</f>
        <v>0.055650000000000005</v>
      </c>
      <c r="C14" s="23">
        <f>100*B14/B14</f>
        <v>100</v>
      </c>
      <c r="D14" s="35">
        <f>B14*0.315</f>
        <v>0.01752975</v>
      </c>
      <c r="E14" s="23">
        <f>100*D14/B14</f>
        <v>31.499999999999996</v>
      </c>
      <c r="F14" s="35">
        <f>B14*0.535*0.7</f>
        <v>0.020840925000000003</v>
      </c>
      <c r="G14" s="23">
        <f>100*F14/B14</f>
        <v>37.449999999999996</v>
      </c>
      <c r="H14" s="35">
        <f>B14*0.535*0.3</f>
        <v>0.008931825000000001</v>
      </c>
      <c r="I14" s="23">
        <f>100*H14/B14</f>
        <v>16.05</v>
      </c>
      <c r="J14" s="35">
        <f>B14-D14-F14-H14</f>
        <v>0.008347500000000004</v>
      </c>
      <c r="K14" s="25">
        <f>100*J14/B14</f>
        <v>15.000000000000007</v>
      </c>
    </row>
    <row r="15" spans="1:11" ht="12.75">
      <c r="A15" s="15" t="s">
        <v>41</v>
      </c>
      <c r="B15" s="55"/>
      <c r="C15" s="38"/>
      <c r="D15" s="55"/>
      <c r="E15" s="38"/>
      <c r="F15" s="55"/>
      <c r="G15" s="38"/>
      <c r="H15" s="55"/>
      <c r="I15" s="38"/>
      <c r="J15" s="55"/>
      <c r="K15" s="56"/>
    </row>
    <row r="16" spans="1:11" ht="12.75">
      <c r="A16" s="14"/>
      <c r="B16" s="35">
        <f>0.07*0.318/0.4</f>
        <v>0.055650000000000005</v>
      </c>
      <c r="C16" s="23">
        <f>100*B16/B16</f>
        <v>100</v>
      </c>
      <c r="D16" s="35">
        <f>B16*0.315</f>
        <v>0.01752975</v>
      </c>
      <c r="E16" s="23">
        <f>100*D16/B16</f>
        <v>31.499999999999996</v>
      </c>
      <c r="F16" s="35">
        <f>B16*0.535*0.7</f>
        <v>0.020840925000000003</v>
      </c>
      <c r="G16" s="23">
        <f>100*F16/B16</f>
        <v>37.449999999999996</v>
      </c>
      <c r="H16" s="35">
        <f>B16*0.535*0.3</f>
        <v>0.008931825000000001</v>
      </c>
      <c r="I16" s="23">
        <f>100*H16/B16</f>
        <v>16.05</v>
      </c>
      <c r="J16" s="35">
        <f>B16-D16-F16-H16</f>
        <v>0.008347500000000004</v>
      </c>
      <c r="K16" s="25">
        <f>100*J16/B16</f>
        <v>15.000000000000007</v>
      </c>
    </row>
    <row r="17" spans="1:11" ht="12.75">
      <c r="A17" s="15" t="s">
        <v>42</v>
      </c>
      <c r="B17" s="55"/>
      <c r="C17" s="38"/>
      <c r="D17" s="55"/>
      <c r="E17" s="38"/>
      <c r="F17" s="55"/>
      <c r="G17" s="38"/>
      <c r="H17" s="55"/>
      <c r="I17" s="38"/>
      <c r="J17" s="55"/>
      <c r="K17" s="56"/>
    </row>
    <row r="18" spans="1:11" ht="12.75">
      <c r="A18" s="14"/>
      <c r="B18" s="35">
        <f>0.07*0.318/0.4</f>
        <v>0.055650000000000005</v>
      </c>
      <c r="C18" s="23">
        <f>100*B18/B18</f>
        <v>100</v>
      </c>
      <c r="D18" s="35">
        <f>B18*0.315</f>
        <v>0.01752975</v>
      </c>
      <c r="E18" s="23">
        <f>100*D18/B18</f>
        <v>31.499999999999996</v>
      </c>
      <c r="F18" s="35">
        <f>B18*0.535*0.7</f>
        <v>0.020840925000000003</v>
      </c>
      <c r="G18" s="23">
        <f>100*F18/B18</f>
        <v>37.449999999999996</v>
      </c>
      <c r="H18" s="35">
        <f>B18*0.535*0.3</f>
        <v>0.008931825000000001</v>
      </c>
      <c r="I18" s="23">
        <f>100*H18/B18</f>
        <v>16.05</v>
      </c>
      <c r="J18" s="35">
        <f>B18-D18-F18-H18</f>
        <v>0.008347500000000004</v>
      </c>
      <c r="K18" s="25">
        <f>100*J18/B18</f>
        <v>15.000000000000007</v>
      </c>
    </row>
    <row r="19" spans="1:11" s="1" customFormat="1" ht="12.75">
      <c r="A19" s="17" t="s">
        <v>43</v>
      </c>
      <c r="B19" s="57"/>
      <c r="C19" s="44"/>
      <c r="D19" s="57"/>
      <c r="E19" s="44"/>
      <c r="F19" s="57"/>
      <c r="G19" s="44"/>
      <c r="H19" s="57"/>
      <c r="I19" s="44"/>
      <c r="J19" s="57"/>
      <c r="K19" s="58"/>
    </row>
    <row r="20" spans="1:11" s="1" customFormat="1" ht="13.5" thickBot="1">
      <c r="A20" s="19"/>
      <c r="B20" s="48">
        <f>SUM(B18+B16+B14+B12+B10+B8+B6)</f>
        <v>0.318</v>
      </c>
      <c r="C20" s="24">
        <f>100*B20/B20</f>
        <v>100</v>
      </c>
      <c r="D20" s="48">
        <f>SUM(D18+D16+D14+D12+D10+D8+D6)</f>
        <v>0.10017</v>
      </c>
      <c r="E20" s="24">
        <f>100*D20/B20</f>
        <v>31.499999999999996</v>
      </c>
      <c r="F20" s="48">
        <f>SUM(F18+F16+F14+F12+F10+F8+F6)</f>
        <v>0.11909100000000002</v>
      </c>
      <c r="G20" s="24">
        <f>100*F20/B20</f>
        <v>37.45000000000001</v>
      </c>
      <c r="H20" s="48">
        <f>SUM(H18+H16+H14+H12+H10+H8+H6)</f>
        <v>0.05103900000000001</v>
      </c>
      <c r="I20" s="24">
        <f>100*H20/B20</f>
        <v>16.050000000000004</v>
      </c>
      <c r="J20" s="48">
        <f>SUM(J18+J16+J14+J12+J10+J8+J6)</f>
        <v>0.04770000000000003</v>
      </c>
      <c r="K20" s="26">
        <f>100*J20/B20</f>
        <v>15.000000000000009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&amp;L&amp;8&amp;A&amp;C185&amp;R&amp;8&amp;F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2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89.25">
      <c r="A2" s="20" t="s">
        <v>85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17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+'12bis 5 - I A'!B6+'12ter 5 - I B'!B6</f>
        <v>0</v>
      </c>
      <c r="C6" s="23" t="e">
        <f>100*B6/B6</f>
        <v>#DIV/0!</v>
      </c>
      <c r="D6" s="35">
        <f>+'12bis 5 - I A'!D6+'12ter 5 - I B'!D6</f>
        <v>0</v>
      </c>
      <c r="E6" s="23" t="e">
        <f>100*D6/B6</f>
        <v>#DIV/0!</v>
      </c>
      <c r="F6" s="35">
        <f>+'12bis 5 - I A'!F6+'12ter 5 - I B'!F6</f>
        <v>0</v>
      </c>
      <c r="G6" s="23" t="e">
        <f>100*F6/B6</f>
        <v>#DIV/0!</v>
      </c>
      <c r="H6" s="35">
        <f>+'12bis 5 - I A'!H6+'12ter 5 - I B'!H6</f>
        <v>0</v>
      </c>
      <c r="I6" s="23" t="e">
        <f>100*H6/B6</f>
        <v>#DIV/0!</v>
      </c>
      <c r="J6" s="35">
        <f>+'12bis 5 - I A'!J6+'12ter 5 - I B'!J6</f>
        <v>0</v>
      </c>
      <c r="K6" s="25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+'12bis 5 - I A'!B8+'12ter 5 - I B'!B8</f>
        <v>1.9</v>
      </c>
      <c r="C8" s="23">
        <f>100*B8/B8</f>
        <v>100</v>
      </c>
      <c r="D8" s="35">
        <f>+'12bis 5 - I A'!D8+'12ter 5 - I B'!D8</f>
        <v>0.375</v>
      </c>
      <c r="E8" s="23">
        <f>100*D8/B8</f>
        <v>19.736842105263158</v>
      </c>
      <c r="F8" s="35">
        <f>+'12bis 5 - I A'!F8+'12ter 5 - I B'!F8</f>
        <v>0.5565</v>
      </c>
      <c r="G8" s="23">
        <f>100*F8/B8</f>
        <v>29.289473684210527</v>
      </c>
      <c r="H8" s="35">
        <f>+'12bis 5 - I A'!H8+'12ter 5 - I B'!H8</f>
        <v>0.23850000000000002</v>
      </c>
      <c r="I8" s="23">
        <f>100*H8/B8</f>
        <v>12.55263157894737</v>
      </c>
      <c r="J8" s="35">
        <f>+'12bis 5 - I A'!J8+'12ter 5 - I B'!J8</f>
        <v>0.73</v>
      </c>
      <c r="K8" s="25">
        <f>100*J8/B8</f>
        <v>38.42105263157895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+'12bis 5 - I A'!B10+'12ter 5 - I B'!B10</f>
        <v>1.9</v>
      </c>
      <c r="C10" s="23">
        <f>100*B10/B10</f>
        <v>100</v>
      </c>
      <c r="D10" s="35">
        <f>+'12bis 5 - I A'!D10+'12ter 5 - I B'!D10</f>
        <v>0.375</v>
      </c>
      <c r="E10" s="23">
        <f>100*D10/B10</f>
        <v>19.736842105263158</v>
      </c>
      <c r="F10" s="35">
        <f>+'12bis 5 - I A'!F10+'12ter 5 - I B'!F10</f>
        <v>0.5565</v>
      </c>
      <c r="G10" s="23">
        <f>100*F10/B10</f>
        <v>29.289473684210527</v>
      </c>
      <c r="H10" s="35">
        <f>+'12bis 5 - I A'!H10+'12ter 5 - I B'!H10</f>
        <v>0.23850000000000002</v>
      </c>
      <c r="I10" s="23">
        <f>100*H10/B10</f>
        <v>12.55263157894737</v>
      </c>
      <c r="J10" s="35">
        <f>+'12bis 5 - I A'!J10+'12ter 5 - I B'!J10</f>
        <v>0.73</v>
      </c>
      <c r="K10" s="25">
        <f>100*J10/B10</f>
        <v>38.42105263157895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+'12bis 5 - I A'!B12+'12ter 5 - I B'!B12</f>
        <v>1.9</v>
      </c>
      <c r="C12" s="23">
        <f>100*B12/B12</f>
        <v>100</v>
      </c>
      <c r="D12" s="35">
        <f>+'12bis 5 - I A'!D12+'12ter 5 - I B'!D12</f>
        <v>0.375</v>
      </c>
      <c r="E12" s="23">
        <f>100*D12/B12</f>
        <v>19.736842105263158</v>
      </c>
      <c r="F12" s="35">
        <f>+'12bis 5 - I A'!F12+'12ter 5 - I B'!F12</f>
        <v>0.5565</v>
      </c>
      <c r="G12" s="23">
        <f>100*F12/B12</f>
        <v>29.289473684210527</v>
      </c>
      <c r="H12" s="35">
        <f>+'12bis 5 - I A'!H12+'12ter 5 - I B'!H12</f>
        <v>0.23850000000000002</v>
      </c>
      <c r="I12" s="23">
        <f>100*H12/B12</f>
        <v>12.55263157894737</v>
      </c>
      <c r="J12" s="35">
        <f>+'12bis 5 - I A'!J12+'12ter 5 - I B'!J12</f>
        <v>0.73</v>
      </c>
      <c r="K12" s="25">
        <f>100*J12/B12</f>
        <v>38.42105263157895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+'12bis 5 - I A'!B14+'12ter 5 - I B'!B14</f>
        <v>1.9</v>
      </c>
      <c r="C14" s="23">
        <f>100*B14/B14</f>
        <v>100</v>
      </c>
      <c r="D14" s="35">
        <f>+'12bis 5 - I A'!D14+'12ter 5 - I B'!D14</f>
        <v>0.375</v>
      </c>
      <c r="E14" s="23">
        <f>100*D14/B14</f>
        <v>19.736842105263158</v>
      </c>
      <c r="F14" s="35">
        <f>+'12bis 5 - I A'!F14+'12ter 5 - I B'!F14</f>
        <v>0.5565</v>
      </c>
      <c r="G14" s="23">
        <f>100*F14/B14</f>
        <v>29.289473684210527</v>
      </c>
      <c r="H14" s="35">
        <f>+'12bis 5 - I A'!H14+'12ter 5 - I B'!H14</f>
        <v>0.23850000000000002</v>
      </c>
      <c r="I14" s="23">
        <f>100*H14/B14</f>
        <v>12.55263157894737</v>
      </c>
      <c r="J14" s="35">
        <f>+'12bis 5 - I A'!J14+'12ter 5 - I B'!J14</f>
        <v>0.73</v>
      </c>
      <c r="K14" s="25">
        <f>100*J14/B14</f>
        <v>38.42105263157895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+'12bis 5 - I A'!B16+'12ter 5 - I B'!B16</f>
        <v>1.9</v>
      </c>
      <c r="C16" s="23">
        <f>100*B16/B16</f>
        <v>100</v>
      </c>
      <c r="D16" s="35">
        <f>+'12bis 5 - I A'!D16+'12ter 5 - I B'!D16</f>
        <v>0.375</v>
      </c>
      <c r="E16" s="23">
        <f>100*D16/B16</f>
        <v>19.736842105263158</v>
      </c>
      <c r="F16" s="35">
        <f>+'12bis 5 - I A'!F16+'12ter 5 - I B'!F16</f>
        <v>0.5565</v>
      </c>
      <c r="G16" s="23">
        <f>100*F16/B16</f>
        <v>29.289473684210527</v>
      </c>
      <c r="H16" s="35">
        <f>+'12bis 5 - I A'!H16+'12ter 5 - I B'!H16</f>
        <v>0.23850000000000002</v>
      </c>
      <c r="I16" s="23">
        <f>100*H16/B16</f>
        <v>12.55263157894737</v>
      </c>
      <c r="J16" s="35">
        <f>+'12bis 5 - I A'!J16+'12ter 5 - I B'!J16</f>
        <v>0.73</v>
      </c>
      <c r="K16" s="25">
        <f>100*J16/B16</f>
        <v>38.42105263157895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+'12bis 5 - I A'!B18+'12ter 5 - I B'!B18</f>
        <v>1.9</v>
      </c>
      <c r="C18" s="23">
        <f>100*B18/B18</f>
        <v>100</v>
      </c>
      <c r="D18" s="35">
        <f>+'12bis 5 - I A'!D18+'12ter 5 - I B'!D18</f>
        <v>0.375</v>
      </c>
      <c r="E18" s="23">
        <f>100*D18/B18</f>
        <v>19.736842105263158</v>
      </c>
      <c r="F18" s="35">
        <f>+'12bis 5 - I A'!F18+'12ter 5 - I B'!F18</f>
        <v>0.5565</v>
      </c>
      <c r="G18" s="23">
        <f>100*F18/B18</f>
        <v>29.289473684210527</v>
      </c>
      <c r="H18" s="35">
        <f>+'12bis 5 - I A'!H18+'12ter 5 - I B'!H18</f>
        <v>0.23850000000000002</v>
      </c>
      <c r="I18" s="23">
        <f>100*H18/B18</f>
        <v>12.55263157894737</v>
      </c>
      <c r="J18" s="35">
        <f>+'12bis 5 - I A'!J18+'12ter 5 - I B'!J18</f>
        <v>0.73</v>
      </c>
      <c r="K18" s="25">
        <f>100*J18/B18</f>
        <v>38.42105263157895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11.4</v>
      </c>
      <c r="C20" s="24">
        <f>100*B20/B20</f>
        <v>100</v>
      </c>
      <c r="D20" s="48">
        <f>SUM(D18+D16+D14+D12+D10+D8+D6)</f>
        <v>2.25</v>
      </c>
      <c r="E20" s="24">
        <f>100*D20/B20</f>
        <v>19.736842105263158</v>
      </c>
      <c r="F20" s="48">
        <f>SUM(F18+F16+F14+F12+F10+F8+F6)</f>
        <v>3.3389999999999995</v>
      </c>
      <c r="G20" s="24">
        <f>100*F20/B20</f>
        <v>29.289473684210524</v>
      </c>
      <c r="H20" s="48">
        <f>SUM(H18+H16+H14+H12+H10+H8+H6)</f>
        <v>1.431</v>
      </c>
      <c r="I20" s="24">
        <f>100*H20/B20</f>
        <v>12.552631578947368</v>
      </c>
      <c r="J20" s="48">
        <f>SUM(J18+J16+J14+J12+J10+J8+J6)</f>
        <v>4.38</v>
      </c>
      <c r="K20" s="26">
        <f>100*J20/B20</f>
        <v>38.421052631578945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&amp;L&amp;8&amp;A&amp;C186&amp;R&amp;8&amp;F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51" customHeight="1">
      <c r="A2" s="20" t="s">
        <v>86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18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54"/>
      <c r="C5" s="33"/>
      <c r="D5" s="54"/>
      <c r="E5" s="33"/>
      <c r="F5" s="54"/>
      <c r="G5" s="33"/>
      <c r="H5" s="54"/>
      <c r="I5" s="33"/>
      <c r="J5" s="54"/>
      <c r="K5" s="34"/>
    </row>
    <row r="6" spans="1:11" ht="12.75">
      <c r="A6" s="14"/>
      <c r="B6" s="35">
        <v>0</v>
      </c>
      <c r="C6" s="50" t="e">
        <f>100*B6/B6</f>
        <v>#DIV/0!</v>
      </c>
      <c r="D6" s="35">
        <f>B6*0.15</f>
        <v>0</v>
      </c>
      <c r="E6" s="50" t="e">
        <f>100*D6/B6</f>
        <v>#DIV/0!</v>
      </c>
      <c r="F6" s="35">
        <f>B6*0.21</f>
        <v>0</v>
      </c>
      <c r="G6" s="23" t="e">
        <f>100*F6/B6</f>
        <v>#DIV/0!</v>
      </c>
      <c r="H6" s="35">
        <f>B6*0.09</f>
        <v>0</v>
      </c>
      <c r="I6" s="23" t="e">
        <f>100*H6/B6</f>
        <v>#DIV/0!</v>
      </c>
      <c r="J6" s="35">
        <f>B6-D6-F6-H6</f>
        <v>0</v>
      </c>
      <c r="K6" s="25" t="e">
        <f>100*J6/B6</f>
        <v>#DIV/0!</v>
      </c>
    </row>
    <row r="7" spans="1:11" ht="12.75">
      <c r="A7" s="15" t="s">
        <v>37</v>
      </c>
      <c r="B7" s="55"/>
      <c r="C7" s="38"/>
      <c r="D7" s="55"/>
      <c r="E7" s="38"/>
      <c r="F7" s="55"/>
      <c r="G7" s="38"/>
      <c r="H7" s="55"/>
      <c r="I7" s="38"/>
      <c r="J7" s="55"/>
      <c r="K7" s="56"/>
    </row>
    <row r="8" spans="1:11" ht="12.75">
      <c r="A8" s="14"/>
      <c r="B8" s="35">
        <v>1</v>
      </c>
      <c r="C8" s="23">
        <f>100*B8/B8</f>
        <v>100</v>
      </c>
      <c r="D8" s="35">
        <f>B8*0.15</f>
        <v>0.15</v>
      </c>
      <c r="E8" s="23">
        <f>100*D8/B8</f>
        <v>15</v>
      </c>
      <c r="F8" s="35">
        <f>B8*0.21</f>
        <v>0.21</v>
      </c>
      <c r="G8" s="23">
        <f>100*F8/B8</f>
        <v>21</v>
      </c>
      <c r="H8" s="35">
        <f>B8*0.09</f>
        <v>0.09</v>
      </c>
      <c r="I8" s="23">
        <f>100*H8/B8</f>
        <v>9</v>
      </c>
      <c r="J8" s="35">
        <f>B8-D8-F8-H8</f>
        <v>0.55</v>
      </c>
      <c r="K8" s="25">
        <f>100*J8/B8</f>
        <v>55.00000000000001</v>
      </c>
    </row>
    <row r="9" spans="1:11" ht="12.75">
      <c r="A9" s="15" t="s">
        <v>38</v>
      </c>
      <c r="B9" s="55"/>
      <c r="C9" s="38"/>
      <c r="D9" s="55"/>
      <c r="E9" s="38"/>
      <c r="F9" s="55"/>
      <c r="G9" s="38"/>
      <c r="H9" s="55"/>
      <c r="I9" s="38"/>
      <c r="J9" s="55"/>
      <c r="K9" s="56"/>
    </row>
    <row r="10" spans="1:11" ht="12.75">
      <c r="A10" s="14"/>
      <c r="B10" s="35">
        <v>1</v>
      </c>
      <c r="C10" s="23">
        <f>100*B10/B10</f>
        <v>100</v>
      </c>
      <c r="D10" s="35">
        <f>B10*0.15</f>
        <v>0.15</v>
      </c>
      <c r="E10" s="23">
        <f>100*D10/B10</f>
        <v>15</v>
      </c>
      <c r="F10" s="35">
        <f>B10*0.21</f>
        <v>0.21</v>
      </c>
      <c r="G10" s="23">
        <f>100*F10/B10</f>
        <v>21</v>
      </c>
      <c r="H10" s="35">
        <f>B10*0.09</f>
        <v>0.09</v>
      </c>
      <c r="I10" s="23">
        <f>100*H10/B10</f>
        <v>9</v>
      </c>
      <c r="J10" s="35">
        <f>B10-D10-F10-H10</f>
        <v>0.55</v>
      </c>
      <c r="K10" s="25">
        <f>100*J10/B10</f>
        <v>55.00000000000001</v>
      </c>
    </row>
    <row r="11" spans="1:11" ht="12.75">
      <c r="A11" s="15" t="s">
        <v>39</v>
      </c>
      <c r="B11" s="55"/>
      <c r="C11" s="38"/>
      <c r="D11" s="55"/>
      <c r="E11" s="38"/>
      <c r="F11" s="55"/>
      <c r="G11" s="38"/>
      <c r="H11" s="55"/>
      <c r="I11" s="38"/>
      <c r="J11" s="55"/>
      <c r="K11" s="56"/>
    </row>
    <row r="12" spans="1:11" ht="12.75">
      <c r="A12" s="14"/>
      <c r="B12" s="35">
        <v>1</v>
      </c>
      <c r="C12" s="23">
        <f>100*B12/B12</f>
        <v>100</v>
      </c>
      <c r="D12" s="35">
        <f>B12*0.15</f>
        <v>0.15</v>
      </c>
      <c r="E12" s="23">
        <f>100*D12/B12</f>
        <v>15</v>
      </c>
      <c r="F12" s="35">
        <f>B12*0.21</f>
        <v>0.21</v>
      </c>
      <c r="G12" s="23">
        <f>100*F12/B12</f>
        <v>21</v>
      </c>
      <c r="H12" s="35">
        <f>B12*0.09</f>
        <v>0.09</v>
      </c>
      <c r="I12" s="23">
        <f>100*H12/B12</f>
        <v>9</v>
      </c>
      <c r="J12" s="35">
        <f>B12-D12-F12-H12</f>
        <v>0.55</v>
      </c>
      <c r="K12" s="25">
        <f>100*J12/B12</f>
        <v>55.00000000000001</v>
      </c>
    </row>
    <row r="13" spans="1:11" ht="12.75">
      <c r="A13" s="15" t="s">
        <v>40</v>
      </c>
      <c r="B13" s="55"/>
      <c r="C13" s="38"/>
      <c r="D13" s="55"/>
      <c r="E13" s="38"/>
      <c r="F13" s="55"/>
      <c r="G13" s="38"/>
      <c r="H13" s="55"/>
      <c r="I13" s="38"/>
      <c r="J13" s="55"/>
      <c r="K13" s="56"/>
    </row>
    <row r="14" spans="1:11" ht="12.75">
      <c r="A14" s="14"/>
      <c r="B14" s="35">
        <v>1</v>
      </c>
      <c r="C14" s="23">
        <f>100*B14/B14</f>
        <v>100</v>
      </c>
      <c r="D14" s="35">
        <f>B14*0.15</f>
        <v>0.15</v>
      </c>
      <c r="E14" s="23">
        <f>100*D14/B14</f>
        <v>15</v>
      </c>
      <c r="F14" s="35">
        <f>B14*0.21</f>
        <v>0.21</v>
      </c>
      <c r="G14" s="23">
        <f>100*F14/B14</f>
        <v>21</v>
      </c>
      <c r="H14" s="35">
        <f>B14*0.09</f>
        <v>0.09</v>
      </c>
      <c r="I14" s="23">
        <f>100*H14/B14</f>
        <v>9</v>
      </c>
      <c r="J14" s="35">
        <f>B14-D14-F14-H14</f>
        <v>0.55</v>
      </c>
      <c r="K14" s="25">
        <f>100*J14/B14</f>
        <v>55.00000000000001</v>
      </c>
    </row>
    <row r="15" spans="1:11" ht="12.75">
      <c r="A15" s="15" t="s">
        <v>41</v>
      </c>
      <c r="B15" s="55"/>
      <c r="C15" s="38"/>
      <c r="D15" s="55"/>
      <c r="E15" s="38"/>
      <c r="F15" s="55"/>
      <c r="G15" s="38"/>
      <c r="H15" s="55"/>
      <c r="I15" s="38"/>
      <c r="J15" s="55"/>
      <c r="K15" s="56"/>
    </row>
    <row r="16" spans="1:11" ht="12.75">
      <c r="A16" s="14"/>
      <c r="B16" s="35">
        <v>1</v>
      </c>
      <c r="C16" s="23">
        <f>100*B16/B16</f>
        <v>100</v>
      </c>
      <c r="D16" s="35">
        <f>B16*0.15</f>
        <v>0.15</v>
      </c>
      <c r="E16" s="23">
        <f>100*D16/B16</f>
        <v>15</v>
      </c>
      <c r="F16" s="35">
        <f>B16*0.21</f>
        <v>0.21</v>
      </c>
      <c r="G16" s="23">
        <f>100*F16/B16</f>
        <v>21</v>
      </c>
      <c r="H16" s="35">
        <f>B16*0.09</f>
        <v>0.09</v>
      </c>
      <c r="I16" s="23">
        <f>100*H16/B16</f>
        <v>9</v>
      </c>
      <c r="J16" s="35">
        <f>B16-D16-F16-H16</f>
        <v>0.55</v>
      </c>
      <c r="K16" s="25">
        <f>100*J16/B16</f>
        <v>55.00000000000001</v>
      </c>
    </row>
    <row r="17" spans="1:11" ht="12.75">
      <c r="A17" s="15" t="s">
        <v>42</v>
      </c>
      <c r="B17" s="55"/>
      <c r="C17" s="38"/>
      <c r="D17" s="55"/>
      <c r="E17" s="38"/>
      <c r="F17" s="55"/>
      <c r="G17" s="38"/>
      <c r="H17" s="55"/>
      <c r="I17" s="38"/>
      <c r="J17" s="55"/>
      <c r="K17" s="56"/>
    </row>
    <row r="18" spans="1:11" ht="12.75">
      <c r="A18" s="14"/>
      <c r="B18" s="35">
        <v>1</v>
      </c>
      <c r="C18" s="23">
        <f>100*B18/B18</f>
        <v>100</v>
      </c>
      <c r="D18" s="35">
        <f>B18*0.15</f>
        <v>0.15</v>
      </c>
      <c r="E18" s="23">
        <f>100*D18/B18</f>
        <v>15</v>
      </c>
      <c r="F18" s="35">
        <f>B18*0.21</f>
        <v>0.21</v>
      </c>
      <c r="G18" s="23">
        <f>100*F18/B18</f>
        <v>21</v>
      </c>
      <c r="H18" s="35">
        <f>B18*0.09</f>
        <v>0.09</v>
      </c>
      <c r="I18" s="23">
        <f>100*H18/B18</f>
        <v>9</v>
      </c>
      <c r="J18" s="35">
        <f>B18-D18-F18-H18</f>
        <v>0.55</v>
      </c>
      <c r="K18" s="25">
        <f>100*J18/B18</f>
        <v>55.00000000000001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6</v>
      </c>
      <c r="C20" s="24">
        <f>100*B20/B20</f>
        <v>100</v>
      </c>
      <c r="D20" s="48">
        <f>SUM(D18+D16+D14+D12+D10+D8+D6)</f>
        <v>0.9</v>
      </c>
      <c r="E20" s="24">
        <f>100*D20/B20</f>
        <v>15</v>
      </c>
      <c r="F20" s="48">
        <f>SUM(F18+F16+F14+F12+F10+F8+F6)</f>
        <v>1.26</v>
      </c>
      <c r="G20" s="24">
        <f>100*F20/B20</f>
        <v>21</v>
      </c>
      <c r="H20" s="48">
        <f>SUM(H18+H16+H14+H12+H10+H8+H6)</f>
        <v>0.5399999999999999</v>
      </c>
      <c r="I20" s="24">
        <f>100*H20/B20</f>
        <v>8.999999999999998</v>
      </c>
      <c r="J20" s="48">
        <f>SUM(J18+J16+J14+J12+J10+J8+J6)</f>
        <v>3.3</v>
      </c>
      <c r="K20" s="26">
        <f>100*J20/B20</f>
        <v>55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&amp;L&amp;8&amp;A&amp;C187&amp;R&amp;8&amp;F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89.25">
      <c r="A2" s="20" t="s">
        <v>87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19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23" t="e">
        <f>100*B6/B6</f>
        <v>#DIV/0!</v>
      </c>
      <c r="D6" s="35">
        <f>B6*0.25</f>
        <v>0</v>
      </c>
      <c r="E6" s="23" t="e">
        <f>100*D6/B6</f>
        <v>#DIV/0!</v>
      </c>
      <c r="F6" s="35">
        <f>B6*0.55*0.7</f>
        <v>0</v>
      </c>
      <c r="G6" s="23" t="e">
        <f>100*F6/B6</f>
        <v>#DIV/0!</v>
      </c>
      <c r="H6" s="35">
        <f>B6*0.55*0.3</f>
        <v>0</v>
      </c>
      <c r="I6" s="23" t="e">
        <f>100*H6/B6</f>
        <v>#DIV/0!</v>
      </c>
      <c r="J6" s="35">
        <f>B6-D6-F6-H6</f>
        <v>0</v>
      </c>
      <c r="K6" s="25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(5.4)/6</f>
        <v>0.9</v>
      </c>
      <c r="C8" s="23">
        <f>100*B8/B8</f>
        <v>100</v>
      </c>
      <c r="D8" s="35">
        <f>B8*0.25</f>
        <v>0.225</v>
      </c>
      <c r="E8" s="23">
        <f>100*D8/B8</f>
        <v>25</v>
      </c>
      <c r="F8" s="35">
        <f>B8*0.55*0.7</f>
        <v>0.34650000000000003</v>
      </c>
      <c r="G8" s="23">
        <f>100*F8/B8</f>
        <v>38.50000000000001</v>
      </c>
      <c r="H8" s="35">
        <f>B8*0.55*0.3</f>
        <v>0.14850000000000002</v>
      </c>
      <c r="I8" s="23">
        <f>100*H8/B8</f>
        <v>16.5</v>
      </c>
      <c r="J8" s="35">
        <f>B8-D8-F8-H8</f>
        <v>0.18</v>
      </c>
      <c r="K8" s="25">
        <f>100*J8/B8</f>
        <v>20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(5.4)/6</f>
        <v>0.9</v>
      </c>
      <c r="C10" s="23">
        <f>100*B10/B10</f>
        <v>100</v>
      </c>
      <c r="D10" s="35">
        <f>B10*0.25</f>
        <v>0.225</v>
      </c>
      <c r="E10" s="23">
        <f>100*D10/B10</f>
        <v>25</v>
      </c>
      <c r="F10" s="35">
        <f>B10*0.55*0.7</f>
        <v>0.34650000000000003</v>
      </c>
      <c r="G10" s="23">
        <f>100*F10/B10</f>
        <v>38.50000000000001</v>
      </c>
      <c r="H10" s="35">
        <f>B10*0.55*0.3</f>
        <v>0.14850000000000002</v>
      </c>
      <c r="I10" s="23">
        <f>100*H10/B10</f>
        <v>16.5</v>
      </c>
      <c r="J10" s="35">
        <f>B10-D10-F10-H10</f>
        <v>0.18</v>
      </c>
      <c r="K10" s="25">
        <f>100*J10/B10</f>
        <v>20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(5.4)/6</f>
        <v>0.9</v>
      </c>
      <c r="C12" s="23">
        <f>100*B12/B12</f>
        <v>100</v>
      </c>
      <c r="D12" s="35">
        <f>B12*0.25</f>
        <v>0.225</v>
      </c>
      <c r="E12" s="23">
        <f>100*D12/B12</f>
        <v>25</v>
      </c>
      <c r="F12" s="35">
        <f>B12*0.55*0.7</f>
        <v>0.34650000000000003</v>
      </c>
      <c r="G12" s="23">
        <f>100*F12/B12</f>
        <v>38.50000000000001</v>
      </c>
      <c r="H12" s="35">
        <f>B12*0.55*0.3</f>
        <v>0.14850000000000002</v>
      </c>
      <c r="I12" s="23">
        <f>100*H12/B12</f>
        <v>16.5</v>
      </c>
      <c r="J12" s="35">
        <f>B12-D12-F12-H12</f>
        <v>0.18</v>
      </c>
      <c r="K12" s="25">
        <f>100*J12/B12</f>
        <v>20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(5.4)/6</f>
        <v>0.9</v>
      </c>
      <c r="C14" s="23">
        <f>100*B14/B14</f>
        <v>100</v>
      </c>
      <c r="D14" s="35">
        <f>B14*0.25</f>
        <v>0.225</v>
      </c>
      <c r="E14" s="23">
        <f>100*D14/B14</f>
        <v>25</v>
      </c>
      <c r="F14" s="35">
        <f>B14*0.55*0.7</f>
        <v>0.34650000000000003</v>
      </c>
      <c r="G14" s="23">
        <f>100*F14/B14</f>
        <v>38.50000000000001</v>
      </c>
      <c r="H14" s="35">
        <f>B14*0.55*0.3</f>
        <v>0.14850000000000002</v>
      </c>
      <c r="I14" s="23">
        <f>100*H14/B14</f>
        <v>16.5</v>
      </c>
      <c r="J14" s="35">
        <f>B14-D14-F14-H14</f>
        <v>0.18</v>
      </c>
      <c r="K14" s="25">
        <f>100*J14/B14</f>
        <v>20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(5.4)/6</f>
        <v>0.9</v>
      </c>
      <c r="C16" s="23">
        <f>100*B16/B16</f>
        <v>100</v>
      </c>
      <c r="D16" s="35">
        <f>B16*0.25</f>
        <v>0.225</v>
      </c>
      <c r="E16" s="23">
        <f>100*D16/B16</f>
        <v>25</v>
      </c>
      <c r="F16" s="35">
        <f>B16*0.55*0.7</f>
        <v>0.34650000000000003</v>
      </c>
      <c r="G16" s="23">
        <f>100*F16/B16</f>
        <v>38.50000000000001</v>
      </c>
      <c r="H16" s="35">
        <f>B16*0.55*0.3</f>
        <v>0.14850000000000002</v>
      </c>
      <c r="I16" s="23">
        <f>100*H16/B16</f>
        <v>16.5</v>
      </c>
      <c r="J16" s="35">
        <f>B16-D16-F16-H16</f>
        <v>0.18</v>
      </c>
      <c r="K16" s="25">
        <f>100*J16/B16</f>
        <v>20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(5.4)/6</f>
        <v>0.9</v>
      </c>
      <c r="C18" s="23">
        <f>100*B18/B18</f>
        <v>100</v>
      </c>
      <c r="D18" s="35">
        <f>B18*0.25</f>
        <v>0.225</v>
      </c>
      <c r="E18" s="23">
        <f>100*D18/B18</f>
        <v>25</v>
      </c>
      <c r="F18" s="35">
        <f>B18*0.55*0.7</f>
        <v>0.34650000000000003</v>
      </c>
      <c r="G18" s="23">
        <f>100*F18/B18</f>
        <v>38.50000000000001</v>
      </c>
      <c r="H18" s="35">
        <f>B18*0.55*0.3</f>
        <v>0.14850000000000002</v>
      </c>
      <c r="I18" s="23">
        <f>100*H18/B18</f>
        <v>16.5</v>
      </c>
      <c r="J18" s="35">
        <f>B18-D18-F18-H18</f>
        <v>0.18</v>
      </c>
      <c r="K18" s="25">
        <f>100*J18/B18</f>
        <v>20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5.4</v>
      </c>
      <c r="C20" s="24">
        <f>100*B20/B20</f>
        <v>100</v>
      </c>
      <c r="D20" s="48">
        <f>SUM(D18+D16+D14+D12+D10+D8+D6)</f>
        <v>1.35</v>
      </c>
      <c r="E20" s="24">
        <f>100*D20/B20</f>
        <v>25</v>
      </c>
      <c r="F20" s="48">
        <f>SUM(F18+F16+F14+F12+F10+F8+F6)</f>
        <v>2.079</v>
      </c>
      <c r="G20" s="24">
        <f>100*F20/B20</f>
        <v>38.5</v>
      </c>
      <c r="H20" s="48">
        <f>SUM(H18+H16+H14+H12+H10+H8+H6)</f>
        <v>0.8910000000000002</v>
      </c>
      <c r="I20" s="24">
        <f>100*H20/B20</f>
        <v>16.500000000000004</v>
      </c>
      <c r="J20" s="48">
        <f>SUM(J18+J16+J14+J12+J10+J8+J6)</f>
        <v>1.0799999999999998</v>
      </c>
      <c r="K20" s="26">
        <f>100*J20/B20</f>
        <v>19.999999999999996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&amp;L&amp;8&amp;A&amp;C188&amp;R&amp;8&amp;F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2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89.25">
      <c r="A2" s="20" t="s">
        <v>88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20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5" t="e">
        <f>100*B6/B6</f>
        <v>#DIV/0!</v>
      </c>
      <c r="D6" s="35">
        <f>B6*0.15</f>
        <v>0</v>
      </c>
      <c r="E6" s="5" t="e">
        <f>100*D6/B6</f>
        <v>#DIV/0!</v>
      </c>
      <c r="F6" s="35">
        <f>B6*0.25*0.7</f>
        <v>0</v>
      </c>
      <c r="G6" s="5" t="e">
        <f>100*F6/B6</f>
        <v>#DIV/0!</v>
      </c>
      <c r="H6" s="35">
        <f>B6*0.25*0.3</f>
        <v>0</v>
      </c>
      <c r="I6" s="5" t="e">
        <f>100*H6/B6</f>
        <v>#DIV/0!</v>
      </c>
      <c r="J6" s="35">
        <f>B6-D6-F6-H6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17.3-4-3</f>
        <v>10.3</v>
      </c>
      <c r="C8" s="23">
        <f>100*B8/B8</f>
        <v>100</v>
      </c>
      <c r="D8" s="35">
        <f>B8*0.15</f>
        <v>1.5450000000000002</v>
      </c>
      <c r="E8" s="23">
        <f>100*D8/B8</f>
        <v>15.000000000000002</v>
      </c>
      <c r="F8" s="35">
        <f>B8*0.25*0.7</f>
        <v>1.8025</v>
      </c>
      <c r="G8" s="23">
        <f>100*F8/B8</f>
        <v>17.5</v>
      </c>
      <c r="H8" s="35">
        <f>B8*0.25*0.3</f>
        <v>0.7725000000000001</v>
      </c>
      <c r="I8" s="23">
        <f>100*H8/B8</f>
        <v>7.500000000000001</v>
      </c>
      <c r="J8" s="35">
        <f>B8-D8-F8-H8</f>
        <v>6.180000000000001</v>
      </c>
      <c r="K8" s="25">
        <f>100*J8/B8</f>
        <v>60.00000000000001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(14.8-2)-((0.975*(40/100))/0.15)</f>
        <v>10.200000000000001</v>
      </c>
      <c r="C10" s="23">
        <f>100*B10/B10</f>
        <v>100</v>
      </c>
      <c r="D10" s="35">
        <f>B10*0.15</f>
        <v>1.53</v>
      </c>
      <c r="E10" s="23">
        <f>100*D10/B10</f>
        <v>14.999999999999998</v>
      </c>
      <c r="F10" s="35">
        <f>B10*0.25*0.7</f>
        <v>1.7850000000000001</v>
      </c>
      <c r="G10" s="23">
        <f>100*F10/B10</f>
        <v>17.499999999999996</v>
      </c>
      <c r="H10" s="35">
        <f>B10*0.25*0.3</f>
        <v>0.765</v>
      </c>
      <c r="I10" s="23">
        <f>100*H10/B10</f>
        <v>7.499999999999999</v>
      </c>
      <c r="J10" s="35">
        <f>B10-D10-F10-H10</f>
        <v>6.120000000000002</v>
      </c>
      <c r="K10" s="25">
        <f>100*J10/B10</f>
        <v>60.000000000000014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8.6+1+1-(0.268*(40/100)/0.15)</f>
        <v>9.885333333333334</v>
      </c>
      <c r="C12" s="23">
        <f>100*B12/B12</f>
        <v>100</v>
      </c>
      <c r="D12" s="35">
        <f>B12*0.15</f>
        <v>1.4828</v>
      </c>
      <c r="E12" s="23">
        <f>100*D12/B12</f>
        <v>15</v>
      </c>
      <c r="F12" s="35">
        <f>B12*0.25*0.7</f>
        <v>1.7299333333333333</v>
      </c>
      <c r="G12" s="23">
        <f>100*F12/B12</f>
        <v>17.5</v>
      </c>
      <c r="H12" s="35">
        <f>B12*0.25*0.3</f>
        <v>0.7414</v>
      </c>
      <c r="I12" s="23">
        <f>100*H12/B12</f>
        <v>7.5</v>
      </c>
      <c r="J12" s="35">
        <f>B12-D12-F12-H12</f>
        <v>5.931200000000001</v>
      </c>
      <c r="K12" s="25">
        <f>100*J12/B12</f>
        <v>60.000000000000014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8.2+1+1-(0.546*(30/100)/0.15)</f>
        <v>9.107999999999999</v>
      </c>
      <c r="C14" s="23">
        <f>100*B14/B14</f>
        <v>100</v>
      </c>
      <c r="D14" s="35">
        <f>B14*0.15</f>
        <v>1.3661999999999999</v>
      </c>
      <c r="E14" s="23">
        <f>100*D14/B14</f>
        <v>15</v>
      </c>
      <c r="F14" s="35">
        <f>B14*0.25*0.7</f>
        <v>1.5938999999999997</v>
      </c>
      <c r="G14" s="23">
        <f>100*F14/B14</f>
        <v>17.499999999999996</v>
      </c>
      <c r="H14" s="35">
        <f>B14*0.25*0.3</f>
        <v>0.6830999999999999</v>
      </c>
      <c r="I14" s="23">
        <f>100*H14/B14</f>
        <v>7.5</v>
      </c>
      <c r="J14" s="35">
        <f>B14-D14-F14-H14</f>
        <v>5.464799999999999</v>
      </c>
      <c r="K14" s="25">
        <f>100*J14/B14</f>
        <v>60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6.3+1+1+(60-59.285)+(60-58.908)</f>
        <v>10.107000000000003</v>
      </c>
      <c r="C16" s="23">
        <f>100*B16/B16</f>
        <v>100</v>
      </c>
      <c r="D16" s="35">
        <f>B16*0.15</f>
        <v>1.5160500000000003</v>
      </c>
      <c r="E16" s="23">
        <f>100*D16/B16</f>
        <v>15</v>
      </c>
      <c r="F16" s="35">
        <f>B16*0.25*0.7</f>
        <v>1.7687250000000003</v>
      </c>
      <c r="G16" s="23">
        <f>100*F16/B16</f>
        <v>17.499999999999996</v>
      </c>
      <c r="H16" s="35">
        <f>B16*0.25*0.3</f>
        <v>0.7580250000000002</v>
      </c>
      <c r="I16" s="23">
        <f>100*H16/B16</f>
        <v>7.5</v>
      </c>
      <c r="J16" s="35">
        <f>B16-D16-F16-H16</f>
        <v>6.064200000000003</v>
      </c>
      <c r="K16" s="25">
        <f>100*J16/B16</f>
        <v>60.000000000000014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4.8+1+2+(60-57.4)</f>
        <v>10.400000000000002</v>
      </c>
      <c r="C18" s="23">
        <f>100*B18/B18</f>
        <v>100</v>
      </c>
      <c r="D18" s="35">
        <f>B18*0.15</f>
        <v>1.5600000000000003</v>
      </c>
      <c r="E18" s="23">
        <f>100*D18/B18</f>
        <v>15</v>
      </c>
      <c r="F18" s="35">
        <f>B18*0.25*0.7</f>
        <v>1.8200000000000003</v>
      </c>
      <c r="G18" s="23">
        <f>100*F18/B18</f>
        <v>17.5</v>
      </c>
      <c r="H18" s="35">
        <f>B18*0.25*0.3</f>
        <v>0.7800000000000001</v>
      </c>
      <c r="I18" s="23">
        <f>100*H18/B18</f>
        <v>7.5</v>
      </c>
      <c r="J18" s="35">
        <f>B18-D18-F18-H18</f>
        <v>6.240000000000001</v>
      </c>
      <c r="K18" s="25">
        <f>100*J18/B18</f>
        <v>60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60.000333333333344</v>
      </c>
      <c r="C20" s="24">
        <f>100*B20/B20</f>
        <v>100</v>
      </c>
      <c r="D20" s="48">
        <f>SUM(D18+D16+D14+D12+D10+D8+D6)</f>
        <v>9.000050000000002</v>
      </c>
      <c r="E20" s="24">
        <f>100*D20/B20</f>
        <v>14.999999999999998</v>
      </c>
      <c r="F20" s="48">
        <f>SUM(F18+F16+F14+F12+F10+F8+F6)</f>
        <v>10.500058333333333</v>
      </c>
      <c r="G20" s="24">
        <f>100*F20/B20</f>
        <v>17.499999999999996</v>
      </c>
      <c r="H20" s="48">
        <f>SUM(H18+H16+H14+H12+H10+H8+H6)</f>
        <v>4.500025000000001</v>
      </c>
      <c r="I20" s="24">
        <f>100*H20/B20</f>
        <v>7.499999999999999</v>
      </c>
      <c r="J20" s="48">
        <f>SUM(J18+J16+J14+J12+J10+J8+J6)</f>
        <v>36.00020000000001</v>
      </c>
      <c r="K20" s="26">
        <f>100*J20/B20</f>
        <v>59.99999999999999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&amp;L&amp;8&amp;A&amp;C190&amp;R&amp;8&amp;F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D2" sqref="D2:E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:17" s="2" customFormat="1" ht="25.5">
      <c r="A1" s="20" t="s">
        <v>104</v>
      </c>
      <c r="B1" s="69" t="s">
        <v>44</v>
      </c>
      <c r="C1" s="69"/>
      <c r="D1" s="69" t="s">
        <v>45</v>
      </c>
      <c r="E1" s="69"/>
      <c r="F1" s="69"/>
      <c r="G1" s="69"/>
      <c r="H1" s="69"/>
      <c r="I1" s="69"/>
      <c r="J1" s="69" t="s">
        <v>46</v>
      </c>
      <c r="K1" s="71"/>
      <c r="L1" s="3"/>
      <c r="M1" s="3"/>
      <c r="N1" s="3"/>
      <c r="O1" s="3"/>
      <c r="P1" s="3"/>
      <c r="Q1" s="3"/>
    </row>
    <row r="2" spans="1:11" s="2" customFormat="1" ht="12.75" customHeight="1">
      <c r="A2" s="74" t="s">
        <v>105</v>
      </c>
      <c r="B2" s="70"/>
      <c r="C2" s="70"/>
      <c r="D2" s="73" t="s">
        <v>47</v>
      </c>
      <c r="E2" s="73"/>
      <c r="F2" s="73" t="s">
        <v>48</v>
      </c>
      <c r="G2" s="73"/>
      <c r="H2" s="73" t="s">
        <v>49</v>
      </c>
      <c r="I2" s="73"/>
      <c r="J2" s="70"/>
      <c r="K2" s="72"/>
    </row>
    <row r="3" spans="1:11" s="2" customFormat="1" ht="12.75">
      <c r="A3" s="22" t="s">
        <v>3</v>
      </c>
      <c r="B3" s="4" t="s">
        <v>1</v>
      </c>
      <c r="C3" s="4" t="s">
        <v>0</v>
      </c>
      <c r="D3" s="4" t="s">
        <v>1</v>
      </c>
      <c r="E3" s="4" t="s">
        <v>0</v>
      </c>
      <c r="F3" s="4" t="s">
        <v>1</v>
      </c>
      <c r="G3" s="4" t="s">
        <v>0</v>
      </c>
      <c r="H3" s="4" t="s">
        <v>1</v>
      </c>
      <c r="I3" s="4" t="s">
        <v>0</v>
      </c>
      <c r="J3" s="4" t="s">
        <v>1</v>
      </c>
      <c r="K3" s="11" t="s">
        <v>0</v>
      </c>
    </row>
    <row r="4" spans="1:11" ht="12.75">
      <c r="A4" s="12" t="s">
        <v>50</v>
      </c>
      <c r="B4" s="8"/>
      <c r="C4" s="8"/>
      <c r="D4" s="8"/>
      <c r="E4" s="8"/>
      <c r="F4" s="8"/>
      <c r="G4" s="8"/>
      <c r="H4" s="8"/>
      <c r="I4" s="8"/>
      <c r="J4" s="8"/>
      <c r="K4" s="13"/>
    </row>
    <row r="5" spans="1:11" ht="12.75">
      <c r="A5" s="14"/>
      <c r="B5" s="35">
        <f>+'8) misura 1'!B20</f>
        <v>43.99999999999999</v>
      </c>
      <c r="C5" s="23">
        <f>100*B5/B5</f>
        <v>100</v>
      </c>
      <c r="D5" s="35">
        <f>'8) misura 1'!D20</f>
        <v>6.6</v>
      </c>
      <c r="E5" s="23">
        <f>100*D5/B5</f>
        <v>15.000000000000002</v>
      </c>
      <c r="F5" s="35">
        <f>'8) misura 1'!F20</f>
        <v>9.24</v>
      </c>
      <c r="G5" s="23">
        <f>100*F5/B5</f>
        <v>21.000000000000004</v>
      </c>
      <c r="H5" s="35">
        <f>'8) misura 1'!H20</f>
        <v>3.959999999999999</v>
      </c>
      <c r="I5" s="23">
        <f>100*H5/B5</f>
        <v>8.999999999999998</v>
      </c>
      <c r="J5" s="35">
        <f>'8) misura 1'!J20</f>
        <v>24.200000000000003</v>
      </c>
      <c r="K5" s="25">
        <f>100*J5/B5</f>
        <v>55.00000000000002</v>
      </c>
    </row>
    <row r="6" spans="1:11" ht="12.75">
      <c r="A6" s="15" t="s">
        <v>51</v>
      </c>
      <c r="B6" s="9"/>
      <c r="C6" s="9"/>
      <c r="D6" s="9"/>
      <c r="E6" s="9"/>
      <c r="F6" s="9"/>
      <c r="G6" s="9"/>
      <c r="H6" s="9"/>
      <c r="I6" s="9"/>
      <c r="J6" s="9"/>
      <c r="K6" s="16"/>
    </row>
    <row r="7" spans="1:11" ht="12.75">
      <c r="A7" s="14"/>
      <c r="B7" s="35">
        <f>'9) misura 2'!B20</f>
        <v>3.5000000000000004</v>
      </c>
      <c r="C7" s="23">
        <f>100*B7/B7</f>
        <v>100</v>
      </c>
      <c r="D7" s="35">
        <f>'9) misura 2'!D20</f>
        <v>1.7500000000000002</v>
      </c>
      <c r="E7" s="23">
        <f>100*D7/B7</f>
        <v>50</v>
      </c>
      <c r="F7" s="35">
        <f>'9) misura 2'!F20</f>
        <v>1.2249999999999999</v>
      </c>
      <c r="G7" s="23">
        <f>100*F7/B7</f>
        <v>34.99999999999999</v>
      </c>
      <c r="H7" s="35">
        <f>'9) misura 2'!H20</f>
        <v>0.5250000000000001</v>
      </c>
      <c r="I7" s="23">
        <f>100*H7/B7</f>
        <v>15.000000000000002</v>
      </c>
      <c r="J7" s="35">
        <f>'9) misura 2'!J20</f>
        <v>0</v>
      </c>
      <c r="K7" s="25">
        <f>100*J7/B7</f>
        <v>0</v>
      </c>
    </row>
    <row r="8" spans="1:11" ht="12.75">
      <c r="A8" s="15" t="s">
        <v>52</v>
      </c>
      <c r="B8" s="9"/>
      <c r="C8" s="9"/>
      <c r="D8" s="9"/>
      <c r="E8" s="9"/>
      <c r="F8" s="9"/>
      <c r="G8" s="9"/>
      <c r="H8" s="9"/>
      <c r="I8" s="9"/>
      <c r="J8" s="9"/>
      <c r="K8" s="16"/>
    </row>
    <row r="9" spans="1:11" ht="12.75">
      <c r="A9" s="14"/>
      <c r="B9" s="35">
        <f>'10) misura 3'!B20</f>
        <v>0.75</v>
      </c>
      <c r="C9" s="23">
        <f>100*B9/B9</f>
        <v>100</v>
      </c>
      <c r="D9" s="35">
        <f>'10) misura 3'!D20</f>
        <v>0.375</v>
      </c>
      <c r="E9" s="23">
        <f>100*D9/B9</f>
        <v>50</v>
      </c>
      <c r="F9" s="35">
        <f>'10) misura 3'!F20</f>
        <v>0.375</v>
      </c>
      <c r="G9" s="23">
        <f>100*F9/B9</f>
        <v>50</v>
      </c>
      <c r="H9" s="35">
        <f>'10) misura 3'!H20</f>
        <v>0</v>
      </c>
      <c r="I9" s="23">
        <f>100*H9/B9</f>
        <v>0</v>
      </c>
      <c r="J9" s="35">
        <f>'10) misura 3'!J20</f>
        <v>0</v>
      </c>
      <c r="K9" s="25">
        <f>100*J9/B9</f>
        <v>0</v>
      </c>
    </row>
    <row r="10" spans="1:11" ht="12.75">
      <c r="A10" s="15" t="s">
        <v>53</v>
      </c>
      <c r="B10" s="9"/>
      <c r="C10" s="9"/>
      <c r="D10" s="9"/>
      <c r="E10" s="9"/>
      <c r="F10" s="9"/>
      <c r="G10" s="9"/>
      <c r="H10" s="9"/>
      <c r="I10" s="9"/>
      <c r="J10" s="9"/>
      <c r="K10" s="16"/>
    </row>
    <row r="11" spans="1:11" ht="12.75">
      <c r="A11" s="14"/>
      <c r="B11" s="35">
        <f>'11) misura 4'!B20</f>
        <v>0.318</v>
      </c>
      <c r="C11" s="23">
        <f>100*B11/B11</f>
        <v>100</v>
      </c>
      <c r="D11" s="35">
        <f>'11) misura 4'!D20</f>
        <v>0.10017</v>
      </c>
      <c r="E11" s="23">
        <f>100*D11/B11</f>
        <v>31.499999999999996</v>
      </c>
      <c r="F11" s="35">
        <f>'11) misura 4'!F20</f>
        <v>0.11909100000000002</v>
      </c>
      <c r="G11" s="23">
        <f>100*F11/B11</f>
        <v>37.45000000000001</v>
      </c>
      <c r="H11" s="35">
        <f>'11) misura 4'!H20</f>
        <v>0.05103900000000001</v>
      </c>
      <c r="I11" s="23">
        <f>100*H11/B11</f>
        <v>16.050000000000004</v>
      </c>
      <c r="J11" s="35">
        <f>'11) misura 4'!J20</f>
        <v>0.04770000000000003</v>
      </c>
      <c r="K11" s="25">
        <f>100*J11/B11</f>
        <v>15.000000000000009</v>
      </c>
    </row>
    <row r="12" spans="1:11" ht="12.75">
      <c r="A12" s="15" t="s">
        <v>54</v>
      </c>
      <c r="B12" s="9"/>
      <c r="C12" s="9"/>
      <c r="D12" s="9"/>
      <c r="E12" s="9"/>
      <c r="F12" s="9"/>
      <c r="G12" s="9"/>
      <c r="H12" s="9"/>
      <c r="I12" s="9"/>
      <c r="J12" s="9"/>
      <c r="K12" s="16"/>
    </row>
    <row r="13" spans="1:11" ht="12.75">
      <c r="A13" s="14"/>
      <c r="B13" s="35">
        <f>' 12) misura 5 - I'!B20</f>
        <v>11.4</v>
      </c>
      <c r="C13" s="23">
        <f>100*B13/B13</f>
        <v>100</v>
      </c>
      <c r="D13" s="35">
        <f>' 12) misura 5 - I'!D20</f>
        <v>2.25</v>
      </c>
      <c r="E13" s="23">
        <f>100*D13/B13</f>
        <v>19.736842105263158</v>
      </c>
      <c r="F13" s="35">
        <f>' 12) misura 5 - I'!F20</f>
        <v>3.3389999999999995</v>
      </c>
      <c r="G13" s="23">
        <f>100*F13/B13</f>
        <v>29.289473684210524</v>
      </c>
      <c r="H13" s="35">
        <f>' 12) misura 5 - I'!H20</f>
        <v>1.431</v>
      </c>
      <c r="I13" s="23">
        <f>100*H13/B13</f>
        <v>12.552631578947368</v>
      </c>
      <c r="J13" s="35">
        <f>' 12) misura 5 - I'!J20</f>
        <v>4.38</v>
      </c>
      <c r="K13" s="25">
        <f>100*J13/B13</f>
        <v>38.421052631578945</v>
      </c>
    </row>
    <row r="14" spans="1:11" ht="12.75">
      <c r="A14" s="15" t="s">
        <v>55</v>
      </c>
      <c r="B14" s="9"/>
      <c r="C14" s="9"/>
      <c r="D14" s="9"/>
      <c r="E14" s="9"/>
      <c r="F14" s="9"/>
      <c r="G14" s="9"/>
      <c r="H14" s="9"/>
      <c r="I14" s="9"/>
      <c r="J14" s="9"/>
      <c r="K14" s="16"/>
    </row>
    <row r="15" spans="1:11" ht="12.75">
      <c r="A15" s="14"/>
      <c r="B15" s="35">
        <f>'13) misura 6'!B20</f>
        <v>60.000333333333344</v>
      </c>
      <c r="C15" s="23">
        <f>100*B15/B15</f>
        <v>100</v>
      </c>
      <c r="D15" s="35">
        <f>'13) misura 6'!D20</f>
        <v>9.000050000000002</v>
      </c>
      <c r="E15" s="23">
        <f>100*D15/B15</f>
        <v>14.999999999999998</v>
      </c>
      <c r="F15" s="35">
        <f>'13) misura 6'!F20</f>
        <v>10.500058333333333</v>
      </c>
      <c r="G15" s="23">
        <f>100*F15/B15</f>
        <v>17.499999999999996</v>
      </c>
      <c r="H15" s="35">
        <f>'13) misura 6'!H20</f>
        <v>4.500025000000001</v>
      </c>
      <c r="I15" s="23">
        <f>100*H15/B15</f>
        <v>7.499999999999999</v>
      </c>
      <c r="J15" s="35">
        <f>'13) misura 6'!J20</f>
        <v>36.00020000000001</v>
      </c>
      <c r="K15" s="25">
        <f>100*J15/B15</f>
        <v>59.99999999999999</v>
      </c>
    </row>
    <row r="16" spans="1:11" ht="12.75">
      <c r="A16" s="15" t="s">
        <v>56</v>
      </c>
      <c r="B16" s="9"/>
      <c r="C16" s="9"/>
      <c r="D16" s="9"/>
      <c r="E16" s="9"/>
      <c r="F16" s="9"/>
      <c r="G16" s="9"/>
      <c r="H16" s="9"/>
      <c r="I16" s="9"/>
      <c r="J16" s="9"/>
      <c r="K16" s="16"/>
    </row>
    <row r="17" spans="1:11" ht="12.75">
      <c r="A17" s="14"/>
      <c r="B17" s="35">
        <f>'14) misura 5 - II'!B20</f>
        <v>5.4</v>
      </c>
      <c r="C17" s="23">
        <f>100*B17/B17</f>
        <v>100</v>
      </c>
      <c r="D17" s="35">
        <f>'14) misura 5 - II'!D20</f>
        <v>0.9199999999999999</v>
      </c>
      <c r="E17" s="23">
        <f>100*D17/B17</f>
        <v>17.037037037037035</v>
      </c>
      <c r="F17" s="35">
        <f>'14) misura 5 - II'!F20</f>
        <v>1.1759999999999997</v>
      </c>
      <c r="G17" s="23">
        <f>100*F17/B17</f>
        <v>21.77777777777777</v>
      </c>
      <c r="H17" s="35">
        <f>'14) misura 5 - II'!H20</f>
        <v>0.504</v>
      </c>
      <c r="I17" s="23">
        <f>100*H17/B17</f>
        <v>9.333333333333332</v>
      </c>
      <c r="J17" s="35">
        <f>'14) misura 5 - II'!J20</f>
        <v>2.8000000000000003</v>
      </c>
      <c r="K17" s="25">
        <f>100*J17/B17</f>
        <v>51.85185185185185</v>
      </c>
    </row>
    <row r="18" spans="1:11" ht="12.75">
      <c r="A18" s="12" t="s">
        <v>57</v>
      </c>
      <c r="B18" s="8"/>
      <c r="C18" s="8"/>
      <c r="D18" s="8"/>
      <c r="E18" s="8"/>
      <c r="F18" s="8"/>
      <c r="G18" s="8"/>
      <c r="H18" s="8"/>
      <c r="I18" s="8"/>
      <c r="J18" s="8"/>
      <c r="K18" s="13"/>
    </row>
    <row r="19" spans="1:11" ht="12.75">
      <c r="A19" s="14"/>
      <c r="B19" s="35">
        <f>'15) misura 7'!B20</f>
        <v>0.8444</v>
      </c>
      <c r="C19" s="23">
        <f>100*B19/B19</f>
        <v>99.99999999999999</v>
      </c>
      <c r="D19" s="35">
        <f>'15) misura 7'!D20</f>
        <v>0.24994239999999998</v>
      </c>
      <c r="E19" s="23">
        <f>100*D19/B19</f>
        <v>29.599999999999994</v>
      </c>
      <c r="F19" s="35">
        <f>'15) misura 7'!F20</f>
        <v>0.29790432</v>
      </c>
      <c r="G19" s="23">
        <f>100*F19/B19</f>
        <v>35.279999999999994</v>
      </c>
      <c r="H19" s="35">
        <f>'15) misura 7'!H20</f>
        <v>0.12767328</v>
      </c>
      <c r="I19" s="23">
        <f>100*H19/B19</f>
        <v>15.119999999999997</v>
      </c>
      <c r="J19" s="35">
        <f>'15) misura 7'!J20</f>
        <v>0.16888</v>
      </c>
      <c r="K19" s="25">
        <f>100*J19/B19</f>
        <v>20</v>
      </c>
    </row>
    <row r="20" spans="1:11" ht="12.75">
      <c r="A20" s="15" t="s">
        <v>58</v>
      </c>
      <c r="B20" s="9"/>
      <c r="C20" s="9"/>
      <c r="D20" s="9"/>
      <c r="E20" s="9"/>
      <c r="F20" s="9"/>
      <c r="G20" s="9"/>
      <c r="H20" s="9"/>
      <c r="I20" s="9"/>
      <c r="J20" s="9"/>
      <c r="K20" s="16"/>
    </row>
    <row r="21" spans="1:11" ht="12.75">
      <c r="A21" s="14"/>
      <c r="B21" s="35">
        <f>'16) misura 8'!B20</f>
        <v>0.75</v>
      </c>
      <c r="C21" s="23">
        <f>100*B21/B21</f>
        <v>100</v>
      </c>
      <c r="D21" s="35">
        <f>'16) misura 8'!D20</f>
        <v>0.375</v>
      </c>
      <c r="E21" s="23">
        <f>100*D21/B21</f>
        <v>50</v>
      </c>
      <c r="F21" s="35">
        <f>'16) misura 8'!F20</f>
        <v>0.2625</v>
      </c>
      <c r="G21" s="23">
        <f>100*F21/B21</f>
        <v>35</v>
      </c>
      <c r="H21" s="35">
        <f>'16) misura 8'!H20</f>
        <v>0.1125</v>
      </c>
      <c r="I21" s="23">
        <f>100*H21/B21</f>
        <v>15</v>
      </c>
      <c r="J21" s="35">
        <f>'16) misura 8'!J20</f>
        <v>0</v>
      </c>
      <c r="K21" s="25">
        <f>100*J21/B21</f>
        <v>0</v>
      </c>
    </row>
    <row r="22" spans="1:11" ht="12.75">
      <c r="A22" s="15" t="s">
        <v>66</v>
      </c>
      <c r="B22" s="9"/>
      <c r="C22" s="9"/>
      <c r="D22" s="9"/>
      <c r="E22" s="9"/>
      <c r="F22" s="9"/>
      <c r="G22" s="9"/>
      <c r="H22" s="9"/>
      <c r="I22" s="9"/>
      <c r="J22" s="9"/>
      <c r="K22" s="16"/>
    </row>
    <row r="23" spans="1:11" ht="12.75">
      <c r="A23" s="14"/>
      <c r="B23" s="35">
        <f>'17) misura 9'!B20</f>
        <v>1.62</v>
      </c>
      <c r="C23" s="23">
        <f>100*B23/B23</f>
        <v>100</v>
      </c>
      <c r="D23" s="35">
        <f>'17) misura 9'!D20</f>
        <v>0.2997</v>
      </c>
      <c r="E23" s="23">
        <f>100*D23/B23</f>
        <v>18.5</v>
      </c>
      <c r="F23" s="35">
        <f>'17) misura 9'!F20</f>
        <v>0.35721</v>
      </c>
      <c r="G23" s="23">
        <f>100*F23/B23</f>
        <v>22.05</v>
      </c>
      <c r="H23" s="35">
        <f>'17) misura 9'!H20</f>
        <v>0.15309</v>
      </c>
      <c r="I23" s="23">
        <f>100*H23/B23</f>
        <v>9.45</v>
      </c>
      <c r="J23" s="35">
        <f>'17) misura 9'!J20</f>
        <v>0.8100000000000002</v>
      </c>
      <c r="K23" s="25">
        <f>100*J23/B23</f>
        <v>50.00000000000001</v>
      </c>
    </row>
    <row r="24" spans="1:11" ht="12.75">
      <c r="A24" s="15" t="s">
        <v>59</v>
      </c>
      <c r="B24" s="9"/>
      <c r="C24" s="9"/>
      <c r="D24" s="9"/>
      <c r="E24" s="9"/>
      <c r="F24" s="9"/>
      <c r="G24" s="9"/>
      <c r="H24" s="9"/>
      <c r="I24" s="9"/>
      <c r="J24" s="9"/>
      <c r="K24" s="16"/>
    </row>
    <row r="25" spans="1:11" ht="12.75">
      <c r="A25" s="14"/>
      <c r="B25" s="35">
        <f>'18) misura 10'!B20</f>
        <v>1.01256</v>
      </c>
      <c r="C25" s="23">
        <f>100*B25/B25</f>
        <v>100</v>
      </c>
      <c r="D25" s="35">
        <f>'18) misura 10'!D20</f>
        <v>0.29971775999999994</v>
      </c>
      <c r="E25" s="23">
        <f>100*D25/B25</f>
        <v>29.599999999999998</v>
      </c>
      <c r="F25" s="35">
        <f>'18) misura 10'!F20</f>
        <v>0.357231168</v>
      </c>
      <c r="G25" s="23">
        <f>100*F25/B25</f>
        <v>35.28</v>
      </c>
      <c r="H25" s="35">
        <f>'18) misura 10'!H20</f>
        <v>0.15309907199999997</v>
      </c>
      <c r="I25" s="23">
        <f>100*H25/B25</f>
        <v>15.12</v>
      </c>
      <c r="J25" s="35">
        <f>'18) misura 10'!J20</f>
        <v>0.20251199999999997</v>
      </c>
      <c r="K25" s="25">
        <f>100*J25/B25</f>
        <v>20</v>
      </c>
    </row>
    <row r="26" spans="1:11" ht="12.75">
      <c r="A26" s="15" t="s">
        <v>60</v>
      </c>
      <c r="B26" s="9"/>
      <c r="C26" s="9"/>
      <c r="D26" s="9"/>
      <c r="E26" s="9"/>
      <c r="F26" s="9"/>
      <c r="G26" s="9"/>
      <c r="H26" s="9"/>
      <c r="I26" s="9"/>
      <c r="J26" s="9"/>
      <c r="K26" s="16"/>
    </row>
    <row r="27" spans="1:11" ht="12.75">
      <c r="A27" s="14"/>
      <c r="B27" s="35">
        <f>'19) misura 11'!B20</f>
        <v>12.1496625</v>
      </c>
      <c r="C27" s="23">
        <f>100*B27/B27</f>
        <v>100</v>
      </c>
      <c r="D27" s="35">
        <f>'19) misura 11'!D20</f>
        <v>3.6003000999999997</v>
      </c>
      <c r="E27" s="23">
        <f>100*D27/B27</f>
        <v>29.63292272521973</v>
      </c>
      <c r="F27" s="35">
        <f>'19) misura 11'!F20</f>
        <v>4.284400929999999</v>
      </c>
      <c r="G27" s="23">
        <f>100*F27/B27</f>
        <v>35.26353863739013</v>
      </c>
      <c r="H27" s="35">
        <f>'19) misura 11'!H20</f>
        <v>1.8360289699999999</v>
      </c>
      <c r="I27" s="23">
        <f>100*H27/B27</f>
        <v>15.111769318695066</v>
      </c>
      <c r="J27" s="35">
        <f>'19) misura 11'!J20</f>
        <v>2.428932500000001</v>
      </c>
      <c r="K27" s="25">
        <f>100*J27/B27</f>
        <v>19.991769318695077</v>
      </c>
    </row>
    <row r="28" spans="1:11" ht="12.75">
      <c r="A28" s="15" t="s">
        <v>61</v>
      </c>
      <c r="B28" s="9"/>
      <c r="C28" s="9"/>
      <c r="D28" s="9"/>
      <c r="E28" s="9"/>
      <c r="F28" s="9"/>
      <c r="G28" s="9"/>
      <c r="H28" s="9"/>
      <c r="I28" s="9"/>
      <c r="J28" s="9"/>
      <c r="K28" s="16"/>
    </row>
    <row r="29" spans="1:11" ht="12.75">
      <c r="A29" s="14"/>
      <c r="B29" s="35">
        <f>'20) misura 12'!B20</f>
        <v>25.962571443898817</v>
      </c>
      <c r="C29" s="23">
        <f>100*B29/B29</f>
        <v>100.00000000000001</v>
      </c>
      <c r="D29" s="35">
        <f>'20) misura 12'!D20</f>
        <v>6.058067917861594</v>
      </c>
      <c r="E29" s="23">
        <f>100*D29/B29</f>
        <v>23.33385169859681</v>
      </c>
      <c r="F29" s="35">
        <f>'20) misura 12'!F20</f>
        <v>7.208546464256261</v>
      </c>
      <c r="G29" s="23">
        <f>100*F29/B29</f>
        <v>27.765148301403187</v>
      </c>
      <c r="H29" s="35">
        <f>'20) misura 12'!H20</f>
        <v>3.0898056275383983</v>
      </c>
      <c r="I29" s="23">
        <f>100*H29/B29</f>
        <v>11.901</v>
      </c>
      <c r="J29" s="35">
        <f>'20) misura 12'!J20</f>
        <v>9.606151434242564</v>
      </c>
      <c r="K29" s="25">
        <f>100*J29/B29</f>
        <v>37.00000000000001</v>
      </c>
    </row>
    <row r="30" spans="1:11" ht="12.75">
      <c r="A30" s="15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16"/>
    </row>
    <row r="31" spans="1:11" ht="12.75">
      <c r="A31" s="14"/>
      <c r="B31" s="35">
        <f>'21) misura 13'!B20</f>
        <v>49.5</v>
      </c>
      <c r="C31" s="23">
        <f>100*B31/B31</f>
        <v>100</v>
      </c>
      <c r="D31" s="35">
        <f>'21) misura 13'!D20</f>
        <v>24.75</v>
      </c>
      <c r="E31" s="23">
        <f>100*D31/B31</f>
        <v>50</v>
      </c>
      <c r="F31" s="35">
        <f>'21) misura 13'!F20</f>
        <v>24.75</v>
      </c>
      <c r="G31" s="23">
        <f>100*F31/B31</f>
        <v>50</v>
      </c>
      <c r="H31" s="35">
        <f>'21) misura 13'!H20</f>
        <v>0</v>
      </c>
      <c r="I31" s="23">
        <f>100*H31/B31</f>
        <v>0</v>
      </c>
      <c r="J31" s="35">
        <f>'21) misura 13'!J20</f>
        <v>0</v>
      </c>
      <c r="K31" s="25">
        <f>100*J31/B31</f>
        <v>0</v>
      </c>
    </row>
    <row r="32" spans="1:11" ht="12.75">
      <c r="A32" s="15" t="s">
        <v>63</v>
      </c>
      <c r="B32" s="9"/>
      <c r="C32" s="9"/>
      <c r="D32" s="9"/>
      <c r="E32" s="9"/>
      <c r="F32" s="9"/>
      <c r="G32" s="9"/>
      <c r="H32" s="9"/>
      <c r="I32" s="9"/>
      <c r="J32" s="9"/>
      <c r="K32" s="16"/>
    </row>
    <row r="33" spans="1:11" ht="12.75">
      <c r="A33" s="14"/>
      <c r="B33" s="35">
        <f>'22) misura 14'!B20</f>
        <v>30.359800000000003</v>
      </c>
      <c r="C33" s="23">
        <f>100*B33/B33</f>
        <v>100</v>
      </c>
      <c r="D33" s="35">
        <f>'22) misura 14'!D20</f>
        <v>15.179900000000002</v>
      </c>
      <c r="E33" s="23">
        <f>100*D33/B33</f>
        <v>50</v>
      </c>
      <c r="F33" s="35">
        <f>'22) misura 14'!F20</f>
        <v>15.179900000000002</v>
      </c>
      <c r="G33" s="23">
        <f>100*F33/B33</f>
        <v>50</v>
      </c>
      <c r="H33" s="35">
        <f>'22) misura 14'!H20</f>
        <v>0</v>
      </c>
      <c r="I33" s="23">
        <f>100*H33/B33</f>
        <v>0</v>
      </c>
      <c r="J33" s="35">
        <f>'22) misura 14'!J20</f>
        <v>0</v>
      </c>
      <c r="K33" s="25">
        <f>100*J33/B33</f>
        <v>0</v>
      </c>
    </row>
    <row r="34" spans="1:11" ht="12.75">
      <c r="A34" s="15" t="s">
        <v>64</v>
      </c>
      <c r="B34" s="9"/>
      <c r="C34" s="9"/>
      <c r="D34" s="9"/>
      <c r="E34" s="9"/>
      <c r="F34" s="9"/>
      <c r="G34" s="9"/>
      <c r="H34" s="9"/>
      <c r="I34" s="9"/>
      <c r="J34" s="9"/>
      <c r="K34" s="16"/>
    </row>
    <row r="35" spans="1:11" ht="12.75">
      <c r="A35" s="14"/>
      <c r="B35" s="35">
        <f>'23) misura 15A'!B20</f>
        <v>1.3188999999999997</v>
      </c>
      <c r="C35" s="23">
        <f>100*B35/B35</f>
        <v>100.00000000000001</v>
      </c>
      <c r="D35" s="35">
        <f>'23) misura 15A'!D20</f>
        <v>0.24399649999999995</v>
      </c>
      <c r="E35" s="23">
        <f>100*D35/B35</f>
        <v>18.5</v>
      </c>
      <c r="F35" s="35">
        <f>'23) misura 15A'!F20</f>
        <v>0.2914769</v>
      </c>
      <c r="G35" s="23">
        <f>100*F35/B35</f>
        <v>22.1</v>
      </c>
      <c r="H35" s="35">
        <f>'23) misura 15A'!H20</f>
        <v>0.12463604999999998</v>
      </c>
      <c r="I35" s="23">
        <f>100*H35/B35</f>
        <v>9.45</v>
      </c>
      <c r="J35" s="35">
        <f>'23) misura 15A'!J20</f>
        <v>0.6587905499999999</v>
      </c>
      <c r="K35" s="25">
        <f>100*J35/B35</f>
        <v>49.949999999999996</v>
      </c>
    </row>
    <row r="36" spans="1:11" ht="12.75">
      <c r="A36" s="15" t="s">
        <v>65</v>
      </c>
      <c r="B36" s="9"/>
      <c r="C36" s="9"/>
      <c r="D36" s="9"/>
      <c r="E36" s="9"/>
      <c r="F36" s="9"/>
      <c r="G36" s="9"/>
      <c r="H36" s="9"/>
      <c r="I36" s="9"/>
      <c r="J36" s="9"/>
      <c r="K36" s="16"/>
    </row>
    <row r="37" spans="1:11" ht="12.75">
      <c r="A37" s="14"/>
      <c r="B37" s="35">
        <f>'24) misura 15B'!B20</f>
        <v>34.068</v>
      </c>
      <c r="C37" s="23">
        <f>100*B37/B37</f>
        <v>100</v>
      </c>
      <c r="D37" s="35">
        <f>'24) misura 15B'!D20</f>
        <v>7.228128</v>
      </c>
      <c r="E37" s="23">
        <f>100*D37/B37</f>
        <v>21.21676646706587</v>
      </c>
      <c r="F37" s="35">
        <f>'24) misura 15B'!F20</f>
        <v>8.6017704</v>
      </c>
      <c r="G37" s="23">
        <f>100*F37/B37</f>
        <v>25.248827051778793</v>
      </c>
      <c r="H37" s="35">
        <f>'24) misura 15B'!H20</f>
        <v>3.6869015999999997</v>
      </c>
      <c r="I37" s="23">
        <f>100*H37/B37</f>
        <v>10.822183867559</v>
      </c>
      <c r="J37" s="35">
        <f>'24) misura 15B'!J20</f>
        <v>14.549199999999999</v>
      </c>
      <c r="K37" s="25">
        <f>100*J37/B37</f>
        <v>42.70635200187859</v>
      </c>
    </row>
    <row r="38" spans="1:11" s="1" customFormat="1" ht="12.75">
      <c r="A38" s="17" t="s">
        <v>43</v>
      </c>
      <c r="B38" s="7"/>
      <c r="C38" s="7"/>
      <c r="D38" s="7"/>
      <c r="E38" s="7"/>
      <c r="F38" s="7"/>
      <c r="G38" s="7"/>
      <c r="H38" s="7"/>
      <c r="I38" s="7"/>
      <c r="J38" s="7"/>
      <c r="K38" s="18"/>
    </row>
    <row r="39" spans="1:11" s="1" customFormat="1" ht="13.5" thickBot="1">
      <c r="A39" s="19"/>
      <c r="B39" s="48">
        <f>SUM(B37+B35+B33+B31+B29+B27+B25+B23+B21+B19+B17+B15+B13+B11+B9+B7+B5)</f>
        <v>282.9542272772322</v>
      </c>
      <c r="C39" s="24">
        <f>100*B39/B39</f>
        <v>100</v>
      </c>
      <c r="D39" s="48">
        <f>SUM(D37+D35+D33+D31+D29+D27+D25+D23+D21+D19+D17+D15+D13+D11+D9+D7+D5)</f>
        <v>79.27997267786161</v>
      </c>
      <c r="E39" s="24">
        <f>100*D39/B39</f>
        <v>28.01865638861259</v>
      </c>
      <c r="F39" s="48">
        <f>SUM(F37+F35+F33+F31+F29+F27+F25+F23+F21+F19+F17+F15+F13+F11+F9+F7+F5)</f>
        <v>87.56508951558958</v>
      </c>
      <c r="G39" s="24">
        <f>100*F39/B39</f>
        <v>30.94673310174485</v>
      </c>
      <c r="H39" s="48">
        <f>SUM(H37+H35+H33+H31+H29+H27+H25+H23+H21+H19+H17+H15+H13+H11+H9+H7+H5)</f>
        <v>20.254798599538397</v>
      </c>
      <c r="I39" s="24">
        <f>100*H39/B39</f>
        <v>7.158330446038256</v>
      </c>
      <c r="J39" s="48">
        <f>SUM(J37+J35+J33+J31+J29+J27+J25+J23+J21+J19+J17+J15+J13+J11+J9+J7+J5)</f>
        <v>95.85236648424257</v>
      </c>
      <c r="K39" s="26">
        <f>100*J39/B39</f>
        <v>33.875573235500234</v>
      </c>
    </row>
  </sheetData>
  <mergeCells count="6">
    <mergeCell ref="B1:C2"/>
    <mergeCell ref="D1:I1"/>
    <mergeCell ref="J1:K2"/>
    <mergeCell ref="D2:E2"/>
    <mergeCell ref="F2:G2"/>
    <mergeCell ref="H2:I2"/>
  </mergeCells>
  <printOptions horizontalCentered="1" verticalCentered="1"/>
  <pageMargins left="0.2362204724409449" right="0.2362204724409449" top="0.8267716535433072" bottom="0.3937007874015748" header="0.2755905511811024" footer="0.2362204724409449"/>
  <pageSetup horizontalDpi="600" verticalDpi="600" orientation="landscape" paperSize="9" scale="95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&amp;L&amp;8&amp;A&amp;C178
&amp;R&amp;8&amp;F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="95" zoomScaleNormal="95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8.57421875" style="6" bestFit="1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114" customHeight="1">
      <c r="A2" s="20" t="s">
        <v>89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21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+'14bis 5 - II a'!B6+'14 ter 5 - II b'!B6</f>
        <v>0</v>
      </c>
      <c r="C6" s="23" t="e">
        <f>100*B6/B6</f>
        <v>#DIV/0!</v>
      </c>
      <c r="D6" s="35">
        <f>+'14bis 5 - II a'!D6+'14 ter 5 - II b'!D6</f>
        <v>0</v>
      </c>
      <c r="E6" s="23" t="e">
        <f>100*D6/B6</f>
        <v>#DIV/0!</v>
      </c>
      <c r="F6" s="35">
        <f>+'14bis 5 - II a'!F6+'14 ter 5 - II b'!F6</f>
        <v>0</v>
      </c>
      <c r="G6" s="23" t="e">
        <f>100*F6/B6</f>
        <v>#DIV/0!</v>
      </c>
      <c r="H6" s="35">
        <f>+'14bis 5 - II a'!H6+'14 ter 5 - II b'!H6</f>
        <v>0</v>
      </c>
      <c r="I6" s="23" t="e">
        <f>100*H6/B6</f>
        <v>#DIV/0!</v>
      </c>
      <c r="J6" s="35">
        <f>+'14bis 5 - II a'!J6+'14 ter 5 - II b'!J6</f>
        <v>0</v>
      </c>
      <c r="K6" s="25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+'14bis 5 - II a'!B8+'14 ter 5 - II b'!B8</f>
        <v>0.9</v>
      </c>
      <c r="C8" s="23">
        <f>100*B8/B8</f>
        <v>100</v>
      </c>
      <c r="D8" s="35">
        <f>+'14bis 5 - II a'!D8+'14 ter 5 - II b'!D8</f>
        <v>0.15333333333333332</v>
      </c>
      <c r="E8" s="23">
        <f>100*D8/B8</f>
        <v>17.037037037037035</v>
      </c>
      <c r="F8" s="35">
        <f>+'14bis 5 - II a'!F8+'14 ter 5 - II b'!F8</f>
        <v>0.19499999999999998</v>
      </c>
      <c r="G8" s="23">
        <f>100*F8/B8</f>
        <v>21.66666666666666</v>
      </c>
      <c r="H8" s="35">
        <f>+'14bis 5 - II a'!H8+'14 ter 5 - II b'!H8</f>
        <v>0.084</v>
      </c>
      <c r="I8" s="23">
        <f>100*H8/B8</f>
        <v>9.333333333333334</v>
      </c>
      <c r="J8" s="35">
        <f>+'14bis 5 - II a'!J8+'14 ter 5 - II b'!J8</f>
        <v>0.4676666666666667</v>
      </c>
      <c r="K8" s="25">
        <f>100*J8/B8</f>
        <v>51.96296296296296</v>
      </c>
    </row>
    <row r="9" spans="1:11" ht="12.75">
      <c r="A9" s="15" t="s">
        <v>38</v>
      </c>
      <c r="B9" s="9"/>
      <c r="C9" s="9"/>
      <c r="D9" s="37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+'14bis 5 - II a'!B10+'14 ter 5 - II b'!B10</f>
        <v>0.9</v>
      </c>
      <c r="C10" s="23">
        <f>100*B10/B10</f>
        <v>100</v>
      </c>
      <c r="D10" s="35">
        <f>+'14bis 5 - II a'!D10+'14 ter 5 - II b'!D10</f>
        <v>0.15233333333333332</v>
      </c>
      <c r="E10" s="23">
        <f>100*D10/B10</f>
        <v>16.925925925925924</v>
      </c>
      <c r="F10" s="35">
        <f>+'14bis 5 - II a'!F10+'14 ter 5 - II b'!F10</f>
        <v>0.19499999999999998</v>
      </c>
      <c r="G10" s="23">
        <f>100*F10/B10</f>
        <v>21.66666666666666</v>
      </c>
      <c r="H10" s="35">
        <f>+'14bis 5 - II a'!H10+'14 ter 5 - II b'!H10</f>
        <v>0.084</v>
      </c>
      <c r="I10" s="23">
        <f>100*H10/B10</f>
        <v>9.333333333333334</v>
      </c>
      <c r="J10" s="35">
        <f>+'14bis 5 - II a'!J10+'14 ter 5 - II b'!J10</f>
        <v>0.4676666666666667</v>
      </c>
      <c r="K10" s="25">
        <f>100*J10/B10</f>
        <v>51.96296296296296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+'14bis 5 - II a'!B12+'14 ter 5 - II b'!B12</f>
        <v>0.9</v>
      </c>
      <c r="C12" s="23">
        <f>100*B12/B12</f>
        <v>100</v>
      </c>
      <c r="D12" s="35">
        <f>+'14bis 5 - II a'!D12+'14 ter 5 - II b'!D12</f>
        <v>0.15333333333333332</v>
      </c>
      <c r="E12" s="23">
        <f>100*D12/B12</f>
        <v>17.037037037037035</v>
      </c>
      <c r="F12" s="35">
        <f>+'14bis 5 - II a'!F12+'14 ter 5 - II b'!F12</f>
        <v>0.19599999999999998</v>
      </c>
      <c r="G12" s="23">
        <f>100*F12/B12</f>
        <v>21.777777777777775</v>
      </c>
      <c r="H12" s="35">
        <f>+'14bis 5 - II a'!H12+'14 ter 5 - II b'!H12</f>
        <v>0.083</v>
      </c>
      <c r="I12" s="23">
        <f>100*H12/B12</f>
        <v>9.222222222222223</v>
      </c>
      <c r="J12" s="35">
        <f>+'14bis 5 - II a'!J12+'14 ter 5 - II b'!J12</f>
        <v>0.4676666666666667</v>
      </c>
      <c r="K12" s="25">
        <f>100*J12/B12</f>
        <v>51.96296296296296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+'14bis 5 - II a'!B14+'14 ter 5 - II b'!B14</f>
        <v>0.9</v>
      </c>
      <c r="C14" s="23">
        <f>100*B14/B14</f>
        <v>100</v>
      </c>
      <c r="D14" s="35">
        <f>+'14bis 5 - II a'!D14+'14 ter 5 - II b'!D14</f>
        <v>0.15333333333333332</v>
      </c>
      <c r="E14" s="23">
        <f>100*D14/B14</f>
        <v>17.037037037037035</v>
      </c>
      <c r="F14" s="35">
        <f>+'14bis 5 - II a'!F14+'14 ter 5 - II b'!F14</f>
        <v>0.19499999999999998</v>
      </c>
      <c r="G14" s="23">
        <f>100*F14/B14</f>
        <v>21.66666666666666</v>
      </c>
      <c r="H14" s="35">
        <f>+'14bis 5 - II a'!H14+'14 ter 5 - II b'!H14</f>
        <v>0.084</v>
      </c>
      <c r="I14" s="23">
        <f>100*H14/B14</f>
        <v>9.333333333333334</v>
      </c>
      <c r="J14" s="35">
        <f>+'14bis 5 - II a'!J14+'14 ter 5 - II b'!J14</f>
        <v>0.4676666666666667</v>
      </c>
      <c r="K14" s="25">
        <f>100*J14/B14</f>
        <v>51.96296296296296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+'14bis 5 - II a'!B16+'14 ter 5 - II b'!B16</f>
        <v>0.9</v>
      </c>
      <c r="C16" s="23">
        <f>100*B16/B16</f>
        <v>100</v>
      </c>
      <c r="D16" s="35">
        <f>+'14bis 5 - II a'!D16+'14 ter 5 - II b'!D16</f>
        <v>0.15333333333333332</v>
      </c>
      <c r="E16" s="23">
        <f>100*D16/B16</f>
        <v>17.037037037037035</v>
      </c>
      <c r="F16" s="35">
        <f>+'14bis 5 - II a'!F16+'14 ter 5 - II b'!F16</f>
        <v>0.19499999999999998</v>
      </c>
      <c r="G16" s="23">
        <f>100*F16/B16</f>
        <v>21.66666666666666</v>
      </c>
      <c r="H16" s="35">
        <f>+'14bis 5 - II a'!H16+'14 ter 5 - II b'!H16</f>
        <v>0.084</v>
      </c>
      <c r="I16" s="23">
        <f>100*H16/B16</f>
        <v>9.333333333333334</v>
      </c>
      <c r="J16" s="35">
        <f>+'14bis 5 - II a'!J16+'14 ter 5 - II b'!J16</f>
        <v>0.4686666666666667</v>
      </c>
      <c r="K16" s="25">
        <f>100*J16/B16</f>
        <v>52.074074074074076</v>
      </c>
    </row>
    <row r="17" spans="1:11" ht="12.75">
      <c r="A17" s="15" t="s">
        <v>42</v>
      </c>
      <c r="B17" s="9"/>
      <c r="C17" s="9"/>
      <c r="D17" s="37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+'14bis 5 - II a'!B18+'14 ter 5 - II b'!B18</f>
        <v>0.9</v>
      </c>
      <c r="C18" s="23">
        <f>100*B18/B18</f>
        <v>100</v>
      </c>
      <c r="D18" s="35">
        <f>+'14bis 5 - II a'!D18+'14 ter 5 - II b'!D18</f>
        <v>0.15533333333333332</v>
      </c>
      <c r="E18" s="23">
        <f>100*D18/B18</f>
        <v>17.259259259259256</v>
      </c>
      <c r="F18" s="35">
        <f>+'14bis 5 - II a'!F18+'14 ter 5 - II b'!F18</f>
        <v>0.19899999999999998</v>
      </c>
      <c r="G18" s="23">
        <f>100*F18/B18</f>
        <v>22.11111111111111</v>
      </c>
      <c r="H18" s="35">
        <f>+'14bis 5 - II a'!H18+'14 ter 5 - II b'!H18</f>
        <v>0.08600000000000001</v>
      </c>
      <c r="I18" s="23">
        <f>100*H18/B18</f>
        <v>9.555555555555557</v>
      </c>
      <c r="J18" s="35">
        <f>+'14bis 5 - II a'!J18+'14 ter 5 - II b'!J18</f>
        <v>0.46066666666666667</v>
      </c>
      <c r="K18" s="25">
        <f>100*J18/B18</f>
        <v>51.18518518518519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5.4</v>
      </c>
      <c r="C20" s="24">
        <f>100*B20/B20</f>
        <v>100</v>
      </c>
      <c r="D20" s="48">
        <f>SUM(D18+D16+D14+D12+D10+D8+D6)-0.001</f>
        <v>0.9199999999999999</v>
      </c>
      <c r="E20" s="24">
        <f>100*D20/B20</f>
        <v>17.037037037037035</v>
      </c>
      <c r="F20" s="48">
        <f>SUM(F18+F16+F14+F12+F10+F8+F6)+0.001</f>
        <v>1.1759999999999997</v>
      </c>
      <c r="G20" s="24">
        <f>100*F20/B20</f>
        <v>21.77777777777777</v>
      </c>
      <c r="H20" s="48">
        <f>SUM(H18+H16+H14+H12+H10+H8+H6)-0.001</f>
        <v>0.504</v>
      </c>
      <c r="I20" s="24">
        <f>100*H20/B20</f>
        <v>9.333333333333332</v>
      </c>
      <c r="J20" s="48">
        <f>SUM(J18+J16+J14+J12+J10+J8+J6)</f>
        <v>2.8000000000000003</v>
      </c>
      <c r="K20" s="26">
        <f>100*J20/B20</f>
        <v>51.85185185185185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&amp;L&amp;8&amp;A&amp;C191&amp;R&amp;8&amp;F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="95" zoomScaleNormal="95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8.5742187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114.75">
      <c r="A2" s="20" t="s">
        <v>90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22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0*4.3/5.4</f>
        <v>0</v>
      </c>
      <c r="C6" s="23" t="e">
        <f>100*B6/B6</f>
        <v>#DIV/0!</v>
      </c>
      <c r="D6" s="35">
        <f>B6*0.15</f>
        <v>0</v>
      </c>
      <c r="E6" s="23" t="e">
        <f>100*D6/B6</f>
        <v>#DIV/0!</v>
      </c>
      <c r="F6" s="35">
        <f>B6*(0.4-0.15)*0.7</f>
        <v>0</v>
      </c>
      <c r="G6" s="23" t="e">
        <f>100*F6/B6</f>
        <v>#DIV/0!</v>
      </c>
      <c r="H6" s="35">
        <f>B6*(0.4-0.15)*0.3</f>
        <v>0</v>
      </c>
      <c r="I6" s="23" t="e">
        <f>100*H6/B6</f>
        <v>#DIV/0!</v>
      </c>
      <c r="J6" s="35">
        <f>B6-D6-F6-H6</f>
        <v>0</v>
      </c>
      <c r="K6" s="25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5.4/6*4.3/5.4</f>
        <v>0.7166666666666667</v>
      </c>
      <c r="C8" s="23">
        <f>100*B8/B8</f>
        <v>100</v>
      </c>
      <c r="D8" s="35">
        <f>B8*0.15</f>
        <v>0.1075</v>
      </c>
      <c r="E8" s="23">
        <f>100*D8/B8</f>
        <v>15</v>
      </c>
      <c r="F8" s="35">
        <f>B8*(0.4-0.15)*0.7-0.001</f>
        <v>0.12441666666666665</v>
      </c>
      <c r="G8" s="23">
        <f>100*F8/B8</f>
        <v>17.360465116279066</v>
      </c>
      <c r="H8" s="35">
        <f>B8*(0.4-0.15)*0.3</f>
        <v>0.05375</v>
      </c>
      <c r="I8" s="23">
        <f>100*H8/B8</f>
        <v>7.5</v>
      </c>
      <c r="J8" s="35">
        <f>B8-D8-F8-H8</f>
        <v>0.431</v>
      </c>
      <c r="K8" s="25">
        <f>100*J8/B8</f>
        <v>60.139534883720934</v>
      </c>
    </row>
    <row r="9" spans="1:11" ht="12.75">
      <c r="A9" s="15" t="s">
        <v>38</v>
      </c>
      <c r="B9" s="9"/>
      <c r="C9" s="9"/>
      <c r="D9" s="37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5.4/6*4.3/5.4</f>
        <v>0.7166666666666667</v>
      </c>
      <c r="C10" s="23">
        <f>100*B10/B10</f>
        <v>100</v>
      </c>
      <c r="D10" s="35">
        <f>B10*0.15-0.001</f>
        <v>0.1065</v>
      </c>
      <c r="E10" s="23">
        <f>100*D10/B10</f>
        <v>14.86046511627907</v>
      </c>
      <c r="F10" s="35">
        <f>B10*(0.4-0.15)*0.7-0.001</f>
        <v>0.12441666666666665</v>
      </c>
      <c r="G10" s="23">
        <f>100*F10/B10</f>
        <v>17.360465116279066</v>
      </c>
      <c r="H10" s="35">
        <f>B10*(0.4-0.15)*0.3</f>
        <v>0.05375</v>
      </c>
      <c r="I10" s="23">
        <f>100*H10/B10</f>
        <v>7.5</v>
      </c>
      <c r="J10" s="35">
        <f>B10-D10-F10-H10-0.001</f>
        <v>0.431</v>
      </c>
      <c r="K10" s="25">
        <f>100*J10/B10</f>
        <v>60.139534883720934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5.4/6*4.3/5.4</f>
        <v>0.7166666666666667</v>
      </c>
      <c r="C12" s="23">
        <f>100*B12/B12</f>
        <v>100</v>
      </c>
      <c r="D12" s="35">
        <f>B12*0.15</f>
        <v>0.1075</v>
      </c>
      <c r="E12" s="23">
        <f>100*D12/B12</f>
        <v>15</v>
      </c>
      <c r="F12" s="35">
        <f>B12*(0.4-0.15)*0.7</f>
        <v>0.12541666666666665</v>
      </c>
      <c r="G12" s="23">
        <f>100*F12/B12</f>
        <v>17.499999999999996</v>
      </c>
      <c r="H12" s="35">
        <f>B12*(0.4-0.15)*0.3-0.001</f>
        <v>0.05275</v>
      </c>
      <c r="I12" s="23">
        <f>100*H12/B12</f>
        <v>7.360465116279069</v>
      </c>
      <c r="J12" s="35">
        <f>B12-D12-F12-H12</f>
        <v>0.431</v>
      </c>
      <c r="K12" s="25">
        <f>100*J12/B12</f>
        <v>60.139534883720934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5.4/6*4.3/5.4</f>
        <v>0.7166666666666667</v>
      </c>
      <c r="C14" s="23">
        <f>100*B14/B14</f>
        <v>100</v>
      </c>
      <c r="D14" s="35">
        <f>B14*0.15</f>
        <v>0.1075</v>
      </c>
      <c r="E14" s="23">
        <f>100*D14/B14</f>
        <v>15</v>
      </c>
      <c r="F14" s="35">
        <f>B14*(0.4-0.15)*0.7-0.001</f>
        <v>0.12441666666666665</v>
      </c>
      <c r="G14" s="23">
        <f>100*F14/B14</f>
        <v>17.360465116279066</v>
      </c>
      <c r="H14" s="35">
        <f>B14*(0.4-0.15)*0.3</f>
        <v>0.05375</v>
      </c>
      <c r="I14" s="23">
        <f>100*H14/B14</f>
        <v>7.5</v>
      </c>
      <c r="J14" s="35">
        <f>B14-D14-F14-H14</f>
        <v>0.431</v>
      </c>
      <c r="K14" s="25">
        <f>100*J14/B14</f>
        <v>60.139534883720934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5.4/6*4.3/5.4</f>
        <v>0.7166666666666667</v>
      </c>
      <c r="C16" s="23">
        <f>100*B16/B16</f>
        <v>100</v>
      </c>
      <c r="D16" s="35">
        <f>B16*0.15</f>
        <v>0.1075</v>
      </c>
      <c r="E16" s="23">
        <f>100*D16/B16</f>
        <v>15</v>
      </c>
      <c r="F16" s="35">
        <f>B16*(0.4-0.15)*0.7-0.001</f>
        <v>0.12441666666666665</v>
      </c>
      <c r="G16" s="23">
        <f>100*F16/B16</f>
        <v>17.360465116279066</v>
      </c>
      <c r="H16" s="35">
        <f>B16*(0.4-0.15)*0.3</f>
        <v>0.05375</v>
      </c>
      <c r="I16" s="23">
        <f>100*H16/B16</f>
        <v>7.5</v>
      </c>
      <c r="J16" s="35">
        <f>B16-D16-F16-H16+0.001</f>
        <v>0.432</v>
      </c>
      <c r="K16" s="25">
        <f>100*J16/B16</f>
        <v>60.27906976744186</v>
      </c>
    </row>
    <row r="17" spans="1:11" ht="12.75">
      <c r="A17" s="15" t="s">
        <v>42</v>
      </c>
      <c r="B17" s="9"/>
      <c r="C17" s="9"/>
      <c r="D17" s="37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5.4/6*4.3/5.4</f>
        <v>0.7166666666666667</v>
      </c>
      <c r="C18" s="23">
        <f>100*B18/B18</f>
        <v>100</v>
      </c>
      <c r="D18" s="35">
        <f>B18*0.15+0.002</f>
        <v>0.1095</v>
      </c>
      <c r="E18" s="23">
        <f>100*D18/B18</f>
        <v>15.27906976744186</v>
      </c>
      <c r="F18" s="35">
        <f>B18*(0.4-0.15)*0.7+0.003</f>
        <v>0.12841666666666665</v>
      </c>
      <c r="G18" s="23">
        <f>100*F18/B18</f>
        <v>17.918604651162788</v>
      </c>
      <c r="H18" s="35">
        <f>B18*(0.4-0.15)*0.3+0.002</f>
        <v>0.05575</v>
      </c>
      <c r="I18" s="23">
        <f>100*H18/B18</f>
        <v>7.779069767441861</v>
      </c>
      <c r="J18" s="35">
        <f>B18-D18-F18-H18+0.001</f>
        <v>0.424</v>
      </c>
      <c r="K18" s="25">
        <f>100*J18/B18</f>
        <v>59.16279069767442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4.3</v>
      </c>
      <c r="C20" s="24">
        <f>100*B20/B20</f>
        <v>100</v>
      </c>
      <c r="D20" s="48">
        <f>SUM(D18+D16+D14+D12+D10+D8+D6)</f>
        <v>0.646</v>
      </c>
      <c r="E20" s="24">
        <f>100*D20/B20</f>
        <v>15.02325581395349</v>
      </c>
      <c r="F20" s="48">
        <f>SUM(F18+F16+F14+F12+F10+F8+F6)</f>
        <v>0.7514999999999998</v>
      </c>
      <c r="G20" s="24">
        <f>100*F20/B20</f>
        <v>17.476744186046506</v>
      </c>
      <c r="H20" s="48">
        <f>SUM(H18+H16+H14+H12+H10+H8+H6)</f>
        <v>0.3235</v>
      </c>
      <c r="I20" s="24">
        <f>100*H20/B20</f>
        <v>7.523255813953489</v>
      </c>
      <c r="J20" s="48">
        <f>SUM(J18+J16+J14+J12+J10+J8+J6)</f>
        <v>2.58</v>
      </c>
      <c r="K20" s="26">
        <f>100*J20/B20</f>
        <v>60</v>
      </c>
    </row>
    <row r="23" ht="12.75">
      <c r="B23" s="27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&amp;L&amp;8&amp;A&amp;C192&amp;R&amp;8&amp;F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="95" zoomScaleNormal="95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8.5742187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150.75" customHeight="1">
      <c r="A2" s="20" t="s">
        <v>91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23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0*1.1/5.4</f>
        <v>0</v>
      </c>
      <c r="C6" s="23" t="e">
        <f>100*B6/B6</f>
        <v>#DIV/0!</v>
      </c>
      <c r="D6" s="35">
        <f>B6*0.25</f>
        <v>0</v>
      </c>
      <c r="E6" s="23" t="e">
        <f>100*D6/B6</f>
        <v>#DIV/0!</v>
      </c>
      <c r="F6" s="35">
        <f>B6*(0.8-0.25)*0.7</f>
        <v>0</v>
      </c>
      <c r="G6" s="23" t="e">
        <f>100*F6/B6</f>
        <v>#DIV/0!</v>
      </c>
      <c r="H6" s="35">
        <f>B6*(0.8-0.25)*0.3</f>
        <v>0</v>
      </c>
      <c r="I6" s="23" t="e">
        <f>100*H6/B6</f>
        <v>#DIV/0!</v>
      </c>
      <c r="J6" s="35">
        <f>B6-D6-F6-H6</f>
        <v>0</v>
      </c>
      <c r="K6" s="25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5.4/6*1.1/5.4</f>
        <v>0.18333333333333335</v>
      </c>
      <c r="C8" s="23">
        <f>100*B8/B8</f>
        <v>100</v>
      </c>
      <c r="D8" s="35">
        <f>B8*0.25</f>
        <v>0.04583333333333334</v>
      </c>
      <c r="E8" s="23">
        <f>100*D8/B8</f>
        <v>25</v>
      </c>
      <c r="F8" s="35">
        <f>B8*(0.8-0.25)*0.7</f>
        <v>0.07058333333333333</v>
      </c>
      <c r="G8" s="23">
        <f>100*F8/B8</f>
        <v>38.5</v>
      </c>
      <c r="H8" s="35">
        <f>B8*(0.8-0.25)*0.3</f>
        <v>0.030250000000000003</v>
      </c>
      <c r="I8" s="23">
        <f>100*H8/B8</f>
        <v>16.5</v>
      </c>
      <c r="J8" s="35">
        <f>B8-D8-F8-H8</f>
        <v>0.03666666666666668</v>
      </c>
      <c r="K8" s="25">
        <f>100*J8/B8</f>
        <v>20.000000000000004</v>
      </c>
    </row>
    <row r="9" spans="1:11" ht="12.75">
      <c r="A9" s="15" t="s">
        <v>38</v>
      </c>
      <c r="B9" s="9"/>
      <c r="C9" s="9"/>
      <c r="D9" s="37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5.4/6*1.1/5.4</f>
        <v>0.18333333333333335</v>
      </c>
      <c r="C10" s="23">
        <f>100*B10/B10</f>
        <v>100</v>
      </c>
      <c r="D10" s="35">
        <f>B10*0.25</f>
        <v>0.04583333333333334</v>
      </c>
      <c r="E10" s="23">
        <f>100*D10/B10</f>
        <v>25</v>
      </c>
      <c r="F10" s="35">
        <f>B10*(0.8-0.25)*0.7</f>
        <v>0.07058333333333333</v>
      </c>
      <c r="G10" s="23">
        <f>100*F10/B10</f>
        <v>38.5</v>
      </c>
      <c r="H10" s="35">
        <f>B10*(0.8-0.25)*0.3</f>
        <v>0.030250000000000003</v>
      </c>
      <c r="I10" s="23">
        <f>100*H10/B10</f>
        <v>16.5</v>
      </c>
      <c r="J10" s="35">
        <f>B10-D10-F10-H10</f>
        <v>0.03666666666666668</v>
      </c>
      <c r="K10" s="25">
        <f>100*J10/B10</f>
        <v>20.000000000000004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5.4/6*1.1/5.4</f>
        <v>0.18333333333333335</v>
      </c>
      <c r="C12" s="23">
        <f>100*B12/B12</f>
        <v>100</v>
      </c>
      <c r="D12" s="35">
        <f>B12*0.25</f>
        <v>0.04583333333333334</v>
      </c>
      <c r="E12" s="23">
        <f>100*D12/B12</f>
        <v>25</v>
      </c>
      <c r="F12" s="35">
        <f>B12*(0.8-0.25)*0.7</f>
        <v>0.07058333333333333</v>
      </c>
      <c r="G12" s="23">
        <f>100*F12/B12</f>
        <v>38.5</v>
      </c>
      <c r="H12" s="35">
        <f>B12*(0.8-0.25)*0.3</f>
        <v>0.030250000000000003</v>
      </c>
      <c r="I12" s="23">
        <f>100*H12/B12</f>
        <v>16.5</v>
      </c>
      <c r="J12" s="35">
        <f>B12-D12-F12-H12</f>
        <v>0.03666666666666668</v>
      </c>
      <c r="K12" s="25">
        <f>100*J12/B12</f>
        <v>20.000000000000004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5.4/6*1.1/5.4</f>
        <v>0.18333333333333335</v>
      </c>
      <c r="C14" s="23">
        <f>100*B14/B14</f>
        <v>100</v>
      </c>
      <c r="D14" s="35">
        <f>B14*0.25</f>
        <v>0.04583333333333334</v>
      </c>
      <c r="E14" s="23">
        <f>100*D14/B14</f>
        <v>25</v>
      </c>
      <c r="F14" s="35">
        <f>B14*(0.8-0.25)*0.7</f>
        <v>0.07058333333333333</v>
      </c>
      <c r="G14" s="23">
        <f>100*F14/B14</f>
        <v>38.5</v>
      </c>
      <c r="H14" s="35">
        <f>B14*(0.8-0.25)*0.3</f>
        <v>0.030250000000000003</v>
      </c>
      <c r="I14" s="23">
        <f>100*H14/B14</f>
        <v>16.5</v>
      </c>
      <c r="J14" s="35">
        <f>B14-D14-F14-H14</f>
        <v>0.03666666666666668</v>
      </c>
      <c r="K14" s="25">
        <f>100*J14/B14</f>
        <v>20.000000000000004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5.4/6*1.1/5.4</f>
        <v>0.18333333333333335</v>
      </c>
      <c r="C16" s="23">
        <f>100*B16/B16</f>
        <v>100</v>
      </c>
      <c r="D16" s="35">
        <f>B16*0.25</f>
        <v>0.04583333333333334</v>
      </c>
      <c r="E16" s="23">
        <f>100*D16/B16</f>
        <v>25</v>
      </c>
      <c r="F16" s="35">
        <f>B16*(0.8-0.25)*0.7</f>
        <v>0.07058333333333333</v>
      </c>
      <c r="G16" s="23">
        <f>100*F16/B16</f>
        <v>38.5</v>
      </c>
      <c r="H16" s="35">
        <f>B16*(0.8-0.25)*0.3</f>
        <v>0.030250000000000003</v>
      </c>
      <c r="I16" s="23">
        <f>100*H16/B16</f>
        <v>16.5</v>
      </c>
      <c r="J16" s="35">
        <f>B16-D16-F16-H16</f>
        <v>0.03666666666666668</v>
      </c>
      <c r="K16" s="25">
        <f>100*J16/B16</f>
        <v>20.000000000000004</v>
      </c>
    </row>
    <row r="17" spans="1:11" ht="12.75">
      <c r="A17" s="15" t="s">
        <v>42</v>
      </c>
      <c r="B17" s="9"/>
      <c r="C17" s="9"/>
      <c r="D17" s="37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5.4/6*1.1/5.4</f>
        <v>0.18333333333333335</v>
      </c>
      <c r="C18" s="23">
        <f>100*B18/B18</f>
        <v>100</v>
      </c>
      <c r="D18" s="35">
        <f>B18*0.25</f>
        <v>0.04583333333333334</v>
      </c>
      <c r="E18" s="23">
        <f>100*D18/B18</f>
        <v>25</v>
      </c>
      <c r="F18" s="35">
        <f>B18*(0.8-0.25)*0.7</f>
        <v>0.07058333333333333</v>
      </c>
      <c r="G18" s="23">
        <f>100*F18/B18</f>
        <v>38.5</v>
      </c>
      <c r="H18" s="35">
        <f>B18*(0.8-0.25)*0.3</f>
        <v>0.030250000000000003</v>
      </c>
      <c r="I18" s="23">
        <f>100*H18/B18</f>
        <v>16.5</v>
      </c>
      <c r="J18" s="35">
        <f>B18-D18-F18-H18</f>
        <v>0.03666666666666668</v>
      </c>
      <c r="K18" s="25">
        <f>100*J18/B18</f>
        <v>20.000000000000004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1.1</v>
      </c>
      <c r="C20" s="24">
        <f>100*B20/B20</f>
        <v>100</v>
      </c>
      <c r="D20" s="48">
        <f>SUM(D18+D16+D14+D12+D10+D8+D6)</f>
        <v>0.275</v>
      </c>
      <c r="E20" s="24">
        <f>100*D20/B20</f>
        <v>25</v>
      </c>
      <c r="F20" s="48">
        <f>SUM(F18+F16+F14+F12+F10+F8+F6)</f>
        <v>0.4235</v>
      </c>
      <c r="G20" s="24">
        <f>100*F20/B20</f>
        <v>38.5</v>
      </c>
      <c r="H20" s="48">
        <f>SUM(H18+H16+H14+H12+H10+H8+H6)</f>
        <v>0.18150000000000002</v>
      </c>
      <c r="I20" s="24">
        <f>100*H20/B20</f>
        <v>16.5</v>
      </c>
      <c r="J20" s="48">
        <f>SUM(J18+J16+J14+J12+J10+J8+J6)</f>
        <v>0.22000000000000008</v>
      </c>
      <c r="K20" s="26">
        <f>100*J20/B20</f>
        <v>20.000000000000004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&amp;L&amp;8&amp;A&amp;C193&amp;R&amp;8&amp;F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76.5">
      <c r="A2" s="20" t="s">
        <v>92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24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5" t="e">
        <f>100*B6/B6</f>
        <v>#DIV/0!</v>
      </c>
      <c r="D6" s="35">
        <f>B6*0.296</f>
        <v>0</v>
      </c>
      <c r="E6" s="5" t="e">
        <f>100*D6/B6</f>
        <v>#DIV/0!</v>
      </c>
      <c r="F6" s="35">
        <f>B6*0.504*0.7</f>
        <v>0</v>
      </c>
      <c r="G6" s="5" t="e">
        <f>100*F6/B6</f>
        <v>#DIV/0!</v>
      </c>
      <c r="H6" s="35">
        <f>B6*0.504*0.3</f>
        <v>0</v>
      </c>
      <c r="I6" s="5" t="e">
        <f>100*H6/B6</f>
        <v>#DIV/0!</v>
      </c>
      <c r="J6" s="35">
        <f>B6-D6-F6-H6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v>0</v>
      </c>
      <c r="C8" s="5" t="e">
        <f>100*B8/B8</f>
        <v>#DIV/0!</v>
      </c>
      <c r="D8" s="35">
        <f>B8*0.296</f>
        <v>0</v>
      </c>
      <c r="E8" s="5" t="e">
        <f>100*D8/B8</f>
        <v>#DIV/0!</v>
      </c>
      <c r="F8" s="35">
        <f>B8*0.504*0.7</f>
        <v>0</v>
      </c>
      <c r="G8" s="5" t="e">
        <f>100*F8/B8</f>
        <v>#DIV/0!</v>
      </c>
      <c r="H8" s="35">
        <f>B8*0.504*0.3</f>
        <v>0</v>
      </c>
      <c r="I8" s="5" t="e">
        <f>100*H8/B8</f>
        <v>#DIV/0!</v>
      </c>
      <c r="J8" s="35">
        <f>B8-D8-F8-H8</f>
        <v>0</v>
      </c>
      <c r="K8" s="10" t="e">
        <f>100*J8/B8</f>
        <v>#DIV/0!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0.844*0.1</f>
        <v>0.0844</v>
      </c>
      <c r="C10" s="23">
        <f>100*B10/B10</f>
        <v>99.99999999999999</v>
      </c>
      <c r="D10" s="35">
        <f>B10*0.296</f>
        <v>0.0249824</v>
      </c>
      <c r="E10" s="23">
        <f>100*D10/B10</f>
        <v>29.599999999999998</v>
      </c>
      <c r="F10" s="35">
        <f>B10*0.504*0.7</f>
        <v>0.02977632</v>
      </c>
      <c r="G10" s="23">
        <f>100*F10/B10</f>
        <v>35.279999999999994</v>
      </c>
      <c r="H10" s="35">
        <f>B10*0.504*0.3</f>
        <v>0.01276128</v>
      </c>
      <c r="I10" s="23">
        <f>100*H10/B10</f>
        <v>15.12</v>
      </c>
      <c r="J10" s="35">
        <f>B10-D10-F10-H10</f>
        <v>0.016880000000000003</v>
      </c>
      <c r="K10" s="25">
        <f>100*J10/B10</f>
        <v>20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(0.844-0.084)/4</f>
        <v>0.19</v>
      </c>
      <c r="C12" s="23">
        <f>100*B12/B12</f>
        <v>100</v>
      </c>
      <c r="D12" s="35">
        <f>B12*0.296</f>
        <v>0.05624</v>
      </c>
      <c r="E12" s="23">
        <f>100*D12/B12</f>
        <v>29.599999999999998</v>
      </c>
      <c r="F12" s="35">
        <f>B12*0.504*0.7</f>
        <v>0.067032</v>
      </c>
      <c r="G12" s="23">
        <f>100*F12/B12</f>
        <v>35.28</v>
      </c>
      <c r="H12" s="35">
        <f>B12*0.504*0.3</f>
        <v>0.028727999999999997</v>
      </c>
      <c r="I12" s="23">
        <f>100*H12/B12</f>
        <v>15.12</v>
      </c>
      <c r="J12" s="35">
        <f>B12-D12-F12-H12</f>
        <v>0.038</v>
      </c>
      <c r="K12" s="25">
        <f>100*J12/B12</f>
        <v>20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B12</f>
        <v>0.19</v>
      </c>
      <c r="C14" s="23">
        <f>100*B14/B14</f>
        <v>100</v>
      </c>
      <c r="D14" s="35">
        <f>B14*0.296</f>
        <v>0.05624</v>
      </c>
      <c r="E14" s="23">
        <f>100*D14/B14</f>
        <v>29.599999999999998</v>
      </c>
      <c r="F14" s="35">
        <f>B14*0.504*0.7</f>
        <v>0.067032</v>
      </c>
      <c r="G14" s="23">
        <f>100*F14/B14</f>
        <v>35.28</v>
      </c>
      <c r="H14" s="35">
        <f>B14*0.504*0.3</f>
        <v>0.028727999999999997</v>
      </c>
      <c r="I14" s="23">
        <f>100*H14/B14</f>
        <v>15.12</v>
      </c>
      <c r="J14" s="35">
        <f>B14-D14-F14-H14</f>
        <v>0.038</v>
      </c>
      <c r="K14" s="25">
        <f>100*J14/B14</f>
        <v>20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B14</f>
        <v>0.19</v>
      </c>
      <c r="C16" s="23">
        <f>100*B16/B16</f>
        <v>100</v>
      </c>
      <c r="D16" s="35">
        <f>B16*0.296</f>
        <v>0.05624</v>
      </c>
      <c r="E16" s="23">
        <f>100*D16/B16</f>
        <v>29.599999999999998</v>
      </c>
      <c r="F16" s="35">
        <f>B16*0.504*0.7</f>
        <v>0.067032</v>
      </c>
      <c r="G16" s="23">
        <f>100*F16/B16</f>
        <v>35.28</v>
      </c>
      <c r="H16" s="35">
        <f>B16*0.504*0.3</f>
        <v>0.028727999999999997</v>
      </c>
      <c r="I16" s="23">
        <f>100*H16/B16</f>
        <v>15.12</v>
      </c>
      <c r="J16" s="35">
        <f>B16-D16-F16-H16</f>
        <v>0.038</v>
      </c>
      <c r="K16" s="25">
        <f>100*J16/B16</f>
        <v>20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B16</f>
        <v>0.19</v>
      </c>
      <c r="C18" s="23">
        <f>100*B18/B18</f>
        <v>100</v>
      </c>
      <c r="D18" s="35">
        <f>B18*0.296</f>
        <v>0.05624</v>
      </c>
      <c r="E18" s="23">
        <f>100*D18/B18</f>
        <v>29.599999999999998</v>
      </c>
      <c r="F18" s="35">
        <f>B18*0.504*0.7</f>
        <v>0.067032</v>
      </c>
      <c r="G18" s="23">
        <f>100*F18/B18</f>
        <v>35.28</v>
      </c>
      <c r="H18" s="35">
        <f>B18*0.504*0.3</f>
        <v>0.028727999999999997</v>
      </c>
      <c r="I18" s="23">
        <f>100*H18/B18</f>
        <v>15.12</v>
      </c>
      <c r="J18" s="35">
        <f>B18-D18-F18-H18</f>
        <v>0.038</v>
      </c>
      <c r="K18" s="25">
        <f>100*J18/B18</f>
        <v>20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0.8444</v>
      </c>
      <c r="C20" s="24">
        <f>100*B20/B20</f>
        <v>99.99999999999999</v>
      </c>
      <c r="D20" s="48">
        <f>SUM(D18+D16+D14+D12+D10+D8+D6)</f>
        <v>0.24994239999999998</v>
      </c>
      <c r="E20" s="24">
        <f>100*D20/B20</f>
        <v>29.599999999999994</v>
      </c>
      <c r="F20" s="48">
        <f>SUM(F18+F16+F14+F12+F10+F8+F6)</f>
        <v>0.29790432</v>
      </c>
      <c r="G20" s="24">
        <f>100*F20/B20</f>
        <v>35.279999999999994</v>
      </c>
      <c r="H20" s="48">
        <f>SUM(H18+H16+H14+H12+H10+H8+H6)</f>
        <v>0.12767328</v>
      </c>
      <c r="I20" s="24">
        <f>100*H20/B20</f>
        <v>15.119999999999997</v>
      </c>
      <c r="J20" s="48">
        <f>SUM(J18+J16+J14+J12+J10+J8+J6)</f>
        <v>0.16888</v>
      </c>
      <c r="K20" s="26">
        <f>100*J20/B20</f>
        <v>20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&amp;L&amp;8&amp;A&amp;C195&amp;R&amp;8&amp;F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" sqref="B2:C3"/>
    </sheetView>
  </sheetViews>
  <sheetFormatPr defaultColWidth="9.140625" defaultRowHeight="12.75"/>
  <cols>
    <col min="1" max="1" width="24.8515625" style="6" customWidth="1"/>
    <col min="2" max="2" width="8.57421875" style="6" bestFit="1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38.25">
      <c r="A2" s="20" t="s">
        <v>93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25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5" t="e">
        <f>100*B6/B6</f>
        <v>#DIV/0!</v>
      </c>
      <c r="D6" s="35">
        <f>B6*0.5</f>
        <v>0</v>
      </c>
      <c r="E6" s="5" t="e">
        <f>100*D6/B6</f>
        <v>#DIV/0!</v>
      </c>
      <c r="F6" s="35">
        <f>B6*0.5*0.7</f>
        <v>0</v>
      </c>
      <c r="G6" s="5" t="e">
        <f>100*F6/B6</f>
        <v>#DIV/0!</v>
      </c>
      <c r="H6" s="35">
        <f>B6*0.5*0.3</f>
        <v>0</v>
      </c>
      <c r="I6" s="5" t="e">
        <f>100*H6/B6</f>
        <v>#DIV/0!</v>
      </c>
      <c r="J6" s="35">
        <f>B6-D6-F6-H6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0.75*0.1</f>
        <v>0.07500000000000001</v>
      </c>
      <c r="C8" s="23">
        <f>100*B8/B8</f>
        <v>100</v>
      </c>
      <c r="D8" s="35">
        <f>B8*0.5</f>
        <v>0.037500000000000006</v>
      </c>
      <c r="E8" s="23">
        <f>100*D8/B8</f>
        <v>50</v>
      </c>
      <c r="F8" s="35">
        <f>B8*0.5*0.7</f>
        <v>0.026250000000000002</v>
      </c>
      <c r="G8" s="23">
        <f>100*F8/B8</f>
        <v>35</v>
      </c>
      <c r="H8" s="35">
        <f>B8*0.5*0.3</f>
        <v>0.011250000000000001</v>
      </c>
      <c r="I8" s="23">
        <f>100*H8/B8</f>
        <v>15</v>
      </c>
      <c r="J8" s="35">
        <f>B8-D8-F8-H8</f>
        <v>0</v>
      </c>
      <c r="K8" s="25">
        <f>100*J8/B8</f>
        <v>0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(0.75-0.075)/5</f>
        <v>0.135</v>
      </c>
      <c r="C10" s="23">
        <f>100*B10/B10</f>
        <v>100</v>
      </c>
      <c r="D10" s="35">
        <f>B10*0.5</f>
        <v>0.0675</v>
      </c>
      <c r="E10" s="23">
        <f>100*D10/B10</f>
        <v>50</v>
      </c>
      <c r="F10" s="35">
        <f>B10*0.5*0.7</f>
        <v>0.04725</v>
      </c>
      <c r="G10" s="23">
        <f>100*F10/B10</f>
        <v>34.99999999999999</v>
      </c>
      <c r="H10" s="35">
        <f>B10*0.5*0.3</f>
        <v>0.02025</v>
      </c>
      <c r="I10" s="23">
        <f>100*H10/B10</f>
        <v>14.999999999999998</v>
      </c>
      <c r="J10" s="35">
        <f>B10-D10-F10-H10</f>
        <v>0</v>
      </c>
      <c r="K10" s="25">
        <f>100*J10/B10</f>
        <v>0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(0.75-0.075)/5</f>
        <v>0.135</v>
      </c>
      <c r="C12" s="23">
        <f>100*B12/B12</f>
        <v>100</v>
      </c>
      <c r="D12" s="35">
        <f>B12*0.5</f>
        <v>0.0675</v>
      </c>
      <c r="E12" s="23">
        <f>100*D12/B12</f>
        <v>50</v>
      </c>
      <c r="F12" s="35">
        <f>B12*0.5*0.7</f>
        <v>0.04725</v>
      </c>
      <c r="G12" s="23">
        <f>100*F12/B12</f>
        <v>34.99999999999999</v>
      </c>
      <c r="H12" s="35">
        <f>B12*0.5*0.3</f>
        <v>0.02025</v>
      </c>
      <c r="I12" s="23">
        <f>100*H12/B12</f>
        <v>14.999999999999998</v>
      </c>
      <c r="J12" s="35">
        <f>B12-D12-F12-H12</f>
        <v>0</v>
      </c>
      <c r="K12" s="25">
        <f>100*J12/B12</f>
        <v>0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(0.75-0.075)/5</f>
        <v>0.135</v>
      </c>
      <c r="C14" s="23">
        <f>100*B14/B14</f>
        <v>100</v>
      </c>
      <c r="D14" s="35">
        <f>B14*0.5</f>
        <v>0.0675</v>
      </c>
      <c r="E14" s="23">
        <f>100*D14/B14</f>
        <v>50</v>
      </c>
      <c r="F14" s="35">
        <f>B14*0.5*0.7</f>
        <v>0.04725</v>
      </c>
      <c r="G14" s="23">
        <f>100*F14/B14</f>
        <v>34.99999999999999</v>
      </c>
      <c r="H14" s="35">
        <f>B14*0.5*0.3</f>
        <v>0.02025</v>
      </c>
      <c r="I14" s="23">
        <f>100*H14/B14</f>
        <v>14.999999999999998</v>
      </c>
      <c r="J14" s="35">
        <f>B14-D14-F14-H14</f>
        <v>0</v>
      </c>
      <c r="K14" s="25">
        <f>100*J14/B14</f>
        <v>0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(0.75-0.075)/5</f>
        <v>0.135</v>
      </c>
      <c r="C16" s="23">
        <f>100*B16/B16</f>
        <v>100</v>
      </c>
      <c r="D16" s="35">
        <f>B16*0.5</f>
        <v>0.0675</v>
      </c>
      <c r="E16" s="23">
        <f>100*D16/B16</f>
        <v>50</v>
      </c>
      <c r="F16" s="35">
        <f>B16*0.5*0.7</f>
        <v>0.04725</v>
      </c>
      <c r="G16" s="23">
        <f>100*F16/B16</f>
        <v>34.99999999999999</v>
      </c>
      <c r="H16" s="35">
        <f>B16*0.5*0.3</f>
        <v>0.02025</v>
      </c>
      <c r="I16" s="23">
        <f>100*H16/B16</f>
        <v>14.999999999999998</v>
      </c>
      <c r="J16" s="35">
        <f>B16-D16-F16-H16</f>
        <v>0</v>
      </c>
      <c r="K16" s="25">
        <f>100*J16/B16</f>
        <v>0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(0.75-0.075)/5</f>
        <v>0.135</v>
      </c>
      <c r="C18" s="23">
        <f>100*B18/B18</f>
        <v>100</v>
      </c>
      <c r="D18" s="35">
        <f>B18*0.5</f>
        <v>0.0675</v>
      </c>
      <c r="E18" s="23">
        <f>100*D18/B18</f>
        <v>50</v>
      </c>
      <c r="F18" s="35">
        <f>B18*0.5*0.7</f>
        <v>0.04725</v>
      </c>
      <c r="G18" s="23">
        <f>100*F18/B18</f>
        <v>34.99999999999999</v>
      </c>
      <c r="H18" s="35">
        <f>B18*0.5*0.3</f>
        <v>0.02025</v>
      </c>
      <c r="I18" s="23">
        <f>100*H18/B18</f>
        <v>14.999999999999998</v>
      </c>
      <c r="J18" s="35">
        <f>B18-D18-F18-H18</f>
        <v>0</v>
      </c>
      <c r="K18" s="25">
        <f>100*J18/B18</f>
        <v>0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0.75</v>
      </c>
      <c r="C20" s="24">
        <f>100*B20/B20</f>
        <v>100</v>
      </c>
      <c r="D20" s="48">
        <f>SUM(D18+D16+D14+D12+D10+D8+D6)</f>
        <v>0.375</v>
      </c>
      <c r="E20" s="24">
        <f>100*D20/B20</f>
        <v>50</v>
      </c>
      <c r="F20" s="48">
        <f>SUM(F18+F16+F14+F12+F10+F8+F6)</f>
        <v>0.2625</v>
      </c>
      <c r="G20" s="24">
        <f>100*F20/B20</f>
        <v>35</v>
      </c>
      <c r="H20" s="48">
        <f>SUM(H18+H16+H14+H12+H10+H8+H6)</f>
        <v>0.1125</v>
      </c>
      <c r="I20" s="24">
        <f>100*H20/B20</f>
        <v>15</v>
      </c>
      <c r="J20" s="48">
        <f>SUM(J18+J16+J14+J12+J10+J8+J6)</f>
        <v>0</v>
      </c>
      <c r="K20" s="26">
        <f>100*J20/B20</f>
        <v>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&amp;L&amp;8&amp;A&amp;C196&amp;R&amp;8&amp;F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140.25">
      <c r="A2" s="20" t="s">
        <v>94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26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5" t="e">
        <f>100*B6/B6</f>
        <v>#DIV/0!</v>
      </c>
      <c r="D6" s="35">
        <f>B6*0.185</f>
        <v>0</v>
      </c>
      <c r="E6" s="5" t="e">
        <f>100*D6/B6</f>
        <v>#DIV/0!</v>
      </c>
      <c r="F6" s="35">
        <f>B6*(0.5-0.185)*0.7</f>
        <v>0</v>
      </c>
      <c r="G6" s="5" t="e">
        <f>100*F6/B6</f>
        <v>#DIV/0!</v>
      </c>
      <c r="H6" s="35">
        <f>B6*(0.5-0.185)*0.3</f>
        <v>0</v>
      </c>
      <c r="I6" s="5" t="e">
        <f>100*H6/B6</f>
        <v>#DIV/0!</v>
      </c>
      <c r="J6" s="35">
        <f>B6-D6-F6-H6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v>0</v>
      </c>
      <c r="C8" s="5" t="e">
        <f>100*B8/B8</f>
        <v>#DIV/0!</v>
      </c>
      <c r="D8" s="35">
        <f>B8*0.185</f>
        <v>0</v>
      </c>
      <c r="E8" s="5" t="e">
        <f>100*D8/B8</f>
        <v>#DIV/0!</v>
      </c>
      <c r="F8" s="35">
        <f>B8*(0.5-0.185)*0.7</f>
        <v>0</v>
      </c>
      <c r="G8" s="5" t="e">
        <f>100*F8/B8</f>
        <v>#DIV/0!</v>
      </c>
      <c r="H8" s="35">
        <f>B8*(0.5-0.185)*0.3</f>
        <v>0</v>
      </c>
      <c r="I8" s="5" t="e">
        <f>100*H8/B8</f>
        <v>#DIV/0!</v>
      </c>
      <c r="J8" s="35">
        <f>B8-D8-F8-H8</f>
        <v>0</v>
      </c>
      <c r="K8" s="10" t="e">
        <f>100*J8/B8</f>
        <v>#DIV/0!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1.62*0.1</f>
        <v>0.16200000000000003</v>
      </c>
      <c r="C10" s="23">
        <f>100*B10/B10</f>
        <v>100</v>
      </c>
      <c r="D10" s="35">
        <f>B10*0.185</f>
        <v>0.029970000000000007</v>
      </c>
      <c r="E10" s="23">
        <f>100*D10/B10</f>
        <v>18.5</v>
      </c>
      <c r="F10" s="35">
        <f>B10*(0.5-0.185)*0.7</f>
        <v>0.03572100000000001</v>
      </c>
      <c r="G10" s="23">
        <f>100*F10/B10</f>
        <v>22.050000000000004</v>
      </c>
      <c r="H10" s="35">
        <f>B10*(0.5-0.185)*0.3</f>
        <v>0.015309000000000003</v>
      </c>
      <c r="I10" s="23">
        <f>100*H10/B10</f>
        <v>9.450000000000001</v>
      </c>
      <c r="J10" s="35">
        <f>B10-D10-F10-H10</f>
        <v>0.08100000000000003</v>
      </c>
      <c r="K10" s="25">
        <f>100*J10/B10</f>
        <v>50.00000000000001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(1.62-0.162)/4</f>
        <v>0.36450000000000005</v>
      </c>
      <c r="C12" s="23">
        <f>100*B12/B12</f>
        <v>100</v>
      </c>
      <c r="D12" s="35">
        <f>B12*0.185</f>
        <v>0.0674325</v>
      </c>
      <c r="E12" s="23">
        <f>100*D12/B12</f>
        <v>18.5</v>
      </c>
      <c r="F12" s="35">
        <f>B12*(0.5-0.185)*0.7</f>
        <v>0.08037225</v>
      </c>
      <c r="G12" s="23">
        <f>100*F12/B12</f>
        <v>22.05</v>
      </c>
      <c r="H12" s="35">
        <f>B12*(0.5-0.185)*0.3</f>
        <v>0.034445250000000004</v>
      </c>
      <c r="I12" s="23">
        <f>100*H12/B12</f>
        <v>9.450000000000001</v>
      </c>
      <c r="J12" s="35">
        <f>B12-D12-F12-H12</f>
        <v>0.18225000000000002</v>
      </c>
      <c r="K12" s="25">
        <f>100*J12/B12</f>
        <v>50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(1.62-0.162)/4</f>
        <v>0.36450000000000005</v>
      </c>
      <c r="C14" s="23">
        <f>100*B14/B14</f>
        <v>100</v>
      </c>
      <c r="D14" s="35">
        <f>B14*0.185</f>
        <v>0.0674325</v>
      </c>
      <c r="E14" s="23">
        <f>100*D14/B14</f>
        <v>18.5</v>
      </c>
      <c r="F14" s="35">
        <f>B14*(0.5-0.185)*0.7</f>
        <v>0.08037225</v>
      </c>
      <c r="G14" s="23">
        <f>100*F14/B14</f>
        <v>22.05</v>
      </c>
      <c r="H14" s="35">
        <f>B14*(0.5-0.185)*0.3</f>
        <v>0.034445250000000004</v>
      </c>
      <c r="I14" s="23">
        <f>100*H14/B14</f>
        <v>9.450000000000001</v>
      </c>
      <c r="J14" s="35">
        <f>B14-D14-F14-H14</f>
        <v>0.18225000000000002</v>
      </c>
      <c r="K14" s="25">
        <f>100*J14/B14</f>
        <v>50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(1.62-0.162)/4</f>
        <v>0.36450000000000005</v>
      </c>
      <c r="C16" s="23">
        <f>100*B16/B16</f>
        <v>100</v>
      </c>
      <c r="D16" s="35">
        <f>B16*0.185</f>
        <v>0.0674325</v>
      </c>
      <c r="E16" s="23">
        <f>100*D16/B16</f>
        <v>18.5</v>
      </c>
      <c r="F16" s="35">
        <f>B16*(0.5-0.185)*0.7</f>
        <v>0.08037225</v>
      </c>
      <c r="G16" s="23">
        <f>100*F16/B16</f>
        <v>22.05</v>
      </c>
      <c r="H16" s="35">
        <f>B16*(0.5-0.185)*0.3</f>
        <v>0.034445250000000004</v>
      </c>
      <c r="I16" s="23">
        <f>100*H16/B16</f>
        <v>9.450000000000001</v>
      </c>
      <c r="J16" s="35">
        <f>B16-D16-F16-H16</f>
        <v>0.18225000000000002</v>
      </c>
      <c r="K16" s="25">
        <f>100*J16/B16</f>
        <v>50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(1.62-0.162)/4</f>
        <v>0.36450000000000005</v>
      </c>
      <c r="C18" s="23">
        <f>100*B18/B18</f>
        <v>100</v>
      </c>
      <c r="D18" s="35">
        <f>B18*0.185</f>
        <v>0.0674325</v>
      </c>
      <c r="E18" s="23">
        <f>100*D18/B18</f>
        <v>18.5</v>
      </c>
      <c r="F18" s="35">
        <f>B18*(0.5-0.185)*0.7</f>
        <v>0.08037225</v>
      </c>
      <c r="G18" s="23">
        <f>100*F18/B18</f>
        <v>22.05</v>
      </c>
      <c r="H18" s="35">
        <f>B18*(0.5-0.185)*0.3</f>
        <v>0.034445250000000004</v>
      </c>
      <c r="I18" s="23">
        <f>100*H18/B18</f>
        <v>9.450000000000001</v>
      </c>
      <c r="J18" s="35">
        <f>B18-D18-F18-H18</f>
        <v>0.18225000000000002</v>
      </c>
      <c r="K18" s="25">
        <f>100*J18/B18</f>
        <v>50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1.62</v>
      </c>
      <c r="C20" s="24">
        <f>100*B20/B20</f>
        <v>100</v>
      </c>
      <c r="D20" s="48">
        <f>SUM(D18+D16+D14+D12+D10+D8+D6)</f>
        <v>0.2997</v>
      </c>
      <c r="E20" s="24">
        <f>100*D20/B20</f>
        <v>18.5</v>
      </c>
      <c r="F20" s="48">
        <f>SUM(F18+F16+F14+F12+F10+F8+F6)</f>
        <v>0.35721</v>
      </c>
      <c r="G20" s="24">
        <f>100*F20/B20</f>
        <v>22.05</v>
      </c>
      <c r="H20" s="48">
        <f>SUM(H18+H16+H14+H12+H10+H8+H6)</f>
        <v>0.15309</v>
      </c>
      <c r="I20" s="24">
        <f>100*H20/B20</f>
        <v>9.45</v>
      </c>
      <c r="J20" s="48">
        <f>SUM(J18+J16+J14+J12+J10+J8+J6)</f>
        <v>0.8100000000000002</v>
      </c>
      <c r="K20" s="26">
        <f>100*J20/B20</f>
        <v>50.00000000000001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&amp;L&amp;8&amp;A&amp;C199&amp;R&amp;8&amp;F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51" customHeight="1">
      <c r="A2" s="20" t="s">
        <v>95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27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5" t="e">
        <f>100*B6/B6</f>
        <v>#DIV/0!</v>
      </c>
      <c r="D6" s="35">
        <f>B6*0.296</f>
        <v>0</v>
      </c>
      <c r="E6" s="5" t="e">
        <f>100*D6/B6</f>
        <v>#DIV/0!</v>
      </c>
      <c r="F6" s="35">
        <f>B6*0.504*0.7</f>
        <v>0</v>
      </c>
      <c r="G6" s="5" t="e">
        <f>100*F6/B6</f>
        <v>#DIV/0!</v>
      </c>
      <c r="H6" s="35">
        <f>B6*0.504*0.3</f>
        <v>0</v>
      </c>
      <c r="I6" s="5" t="e">
        <f>100*H6/B6</f>
        <v>#DIV/0!</v>
      </c>
      <c r="J6" s="35">
        <f>B6-D6-F6-H6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v>0</v>
      </c>
      <c r="C8" s="5" t="e">
        <f>100*B8/B8</f>
        <v>#DIV/0!</v>
      </c>
      <c r="D8" s="35">
        <f>B8*0.296</f>
        <v>0</v>
      </c>
      <c r="E8" s="5" t="e">
        <f>100*D8/B8</f>
        <v>#DIV/0!</v>
      </c>
      <c r="F8" s="35">
        <f>B8*0.504*0.7</f>
        <v>0</v>
      </c>
      <c r="G8" s="5" t="e">
        <f>100*F8/B8</f>
        <v>#DIV/0!</v>
      </c>
      <c r="H8" s="35">
        <f>B8*0.504*0.3</f>
        <v>0</v>
      </c>
      <c r="I8" s="5" t="e">
        <f>100*H8/B8</f>
        <v>#DIV/0!</v>
      </c>
      <c r="J8" s="35">
        <f>B8-D8-F8-H8</f>
        <v>0</v>
      </c>
      <c r="K8" s="10" t="e">
        <f>100*J8/B8</f>
        <v>#DIV/0!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1.013/5*0.6</f>
        <v>0.12155999999999997</v>
      </c>
      <c r="C10" s="23">
        <f>100*B10/B10</f>
        <v>100</v>
      </c>
      <c r="D10" s="35">
        <f>B10*0.296</f>
        <v>0.03598175999999999</v>
      </c>
      <c r="E10" s="23">
        <f>100*D10/B10</f>
        <v>29.599999999999994</v>
      </c>
      <c r="F10" s="35">
        <f>B10*0.504*0.7</f>
        <v>0.04288636799999999</v>
      </c>
      <c r="G10" s="23">
        <f>100*F10/B10</f>
        <v>35.28</v>
      </c>
      <c r="H10" s="35">
        <f>B10*0.504*0.3</f>
        <v>0.018379871999999995</v>
      </c>
      <c r="I10" s="23">
        <f>100*H10/B10</f>
        <v>15.12</v>
      </c>
      <c r="J10" s="35">
        <f>B10-D10-F10-H10</f>
        <v>0.024312000000000004</v>
      </c>
      <c r="K10" s="25">
        <f>100*J10/B10</f>
        <v>20.000000000000007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(1.013-0.122)/4</f>
        <v>0.22274999999999998</v>
      </c>
      <c r="C12" s="23">
        <f>100*B12/B12</f>
        <v>100</v>
      </c>
      <c r="D12" s="35">
        <f>B12*0.296</f>
        <v>0.06593399999999999</v>
      </c>
      <c r="E12" s="23">
        <f>100*D12/B12</f>
        <v>29.599999999999998</v>
      </c>
      <c r="F12" s="35">
        <f>B12*0.504*0.7</f>
        <v>0.0785862</v>
      </c>
      <c r="G12" s="23">
        <f>100*F12/B12</f>
        <v>35.28</v>
      </c>
      <c r="H12" s="35">
        <f>B12*0.504*0.3</f>
        <v>0.033679799999999996</v>
      </c>
      <c r="I12" s="23">
        <f>100*H12/B12</f>
        <v>15.120000000000001</v>
      </c>
      <c r="J12" s="35">
        <f>B12-D12-F12-H12</f>
        <v>0.04454999999999999</v>
      </c>
      <c r="K12" s="25">
        <f>100*J12/B12</f>
        <v>20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(1.013-0.122)/4</f>
        <v>0.22274999999999998</v>
      </c>
      <c r="C14" s="23">
        <f>100*B14/B14</f>
        <v>100</v>
      </c>
      <c r="D14" s="35">
        <f>B14*0.296</f>
        <v>0.06593399999999999</v>
      </c>
      <c r="E14" s="23">
        <f>100*D14/B14</f>
        <v>29.599999999999998</v>
      </c>
      <c r="F14" s="35">
        <f>B14*0.504*0.7</f>
        <v>0.0785862</v>
      </c>
      <c r="G14" s="23">
        <f>100*F14/B14</f>
        <v>35.28</v>
      </c>
      <c r="H14" s="35">
        <f>B14*0.504*0.3</f>
        <v>0.033679799999999996</v>
      </c>
      <c r="I14" s="23">
        <f>100*H14/B14</f>
        <v>15.120000000000001</v>
      </c>
      <c r="J14" s="35">
        <f>B14-D14-F14-H14</f>
        <v>0.04454999999999999</v>
      </c>
      <c r="K14" s="25">
        <f>100*J14/B14</f>
        <v>20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(1.013-0.122)/4</f>
        <v>0.22274999999999998</v>
      </c>
      <c r="C16" s="23">
        <f>100*B16/B16</f>
        <v>100</v>
      </c>
      <c r="D16" s="35">
        <f>B16*0.296</f>
        <v>0.06593399999999999</v>
      </c>
      <c r="E16" s="23">
        <f>100*D16/B16</f>
        <v>29.599999999999998</v>
      </c>
      <c r="F16" s="35">
        <f>B16*0.504*0.7</f>
        <v>0.0785862</v>
      </c>
      <c r="G16" s="23">
        <f>100*F16/B16</f>
        <v>35.28</v>
      </c>
      <c r="H16" s="35">
        <f>B16*0.504*0.3</f>
        <v>0.033679799999999996</v>
      </c>
      <c r="I16" s="23">
        <f>100*H16/B16</f>
        <v>15.120000000000001</v>
      </c>
      <c r="J16" s="35">
        <f>B16-D16-F16-H16</f>
        <v>0.04454999999999999</v>
      </c>
      <c r="K16" s="25">
        <f>100*J16/B16</f>
        <v>20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(1.013-0.122)/4</f>
        <v>0.22274999999999998</v>
      </c>
      <c r="C18" s="23">
        <f>100*B18/B18</f>
        <v>100</v>
      </c>
      <c r="D18" s="35">
        <f>B18*0.296</f>
        <v>0.06593399999999999</v>
      </c>
      <c r="E18" s="23">
        <f>100*D18/B18</f>
        <v>29.599999999999998</v>
      </c>
      <c r="F18" s="35">
        <f>B18*0.504*0.7</f>
        <v>0.0785862</v>
      </c>
      <c r="G18" s="23">
        <f>100*F18/B18</f>
        <v>35.28</v>
      </c>
      <c r="H18" s="35">
        <f>B18*0.504*0.3</f>
        <v>0.033679799999999996</v>
      </c>
      <c r="I18" s="23">
        <f>100*H18/B18</f>
        <v>15.120000000000001</v>
      </c>
      <c r="J18" s="35">
        <f>B18-D18-F18-H18</f>
        <v>0.04454999999999999</v>
      </c>
      <c r="K18" s="25">
        <f>100*J18/B18</f>
        <v>20</v>
      </c>
    </row>
    <row r="19" spans="1:11" s="1" customFormat="1" ht="12.75">
      <c r="A19" s="17" t="s">
        <v>43</v>
      </c>
      <c r="B19" s="7"/>
      <c r="C19" s="7"/>
      <c r="D19" s="7"/>
      <c r="E19" s="7"/>
      <c r="F19" s="43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1.01256</v>
      </c>
      <c r="C20" s="24">
        <f>100*B20/B20</f>
        <v>100</v>
      </c>
      <c r="D20" s="48">
        <f>SUM(D18+D16+D14+D12+D10+D8+D6)</f>
        <v>0.29971775999999994</v>
      </c>
      <c r="E20" s="24">
        <f>100*D20/B20</f>
        <v>29.599999999999998</v>
      </c>
      <c r="F20" s="48">
        <f>SUM(F18+F16+F14+F12+F10+F8+F6)</f>
        <v>0.357231168</v>
      </c>
      <c r="G20" s="24">
        <f>100*F20/B20</f>
        <v>35.28</v>
      </c>
      <c r="H20" s="48">
        <f>SUM(H18+H16+H14+H12+H10+H8+H6)</f>
        <v>0.15309907199999997</v>
      </c>
      <c r="I20" s="24">
        <f>100*H20/B20</f>
        <v>15.12</v>
      </c>
      <c r="J20" s="48">
        <f>SUM(J18+J16+J14+J12+J10+J8+J6)</f>
        <v>0.20251199999999997</v>
      </c>
      <c r="K20" s="26">
        <f>100*J20/B20</f>
        <v>20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&amp;L&amp;8&amp;A&amp;C200
&amp;R&amp;8&amp;F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102">
      <c r="A2" s="20" t="s">
        <v>96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28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5" t="e">
        <f>100*B6/B6</f>
        <v>#DIV/0!</v>
      </c>
      <c r="D6" s="35">
        <f>B6*0.296</f>
        <v>0</v>
      </c>
      <c r="E6" s="5" t="e">
        <f>100*D6/B6</f>
        <v>#DIV/0!</v>
      </c>
      <c r="F6" s="35">
        <f>B6*0.504*0.7</f>
        <v>0</v>
      </c>
      <c r="G6" s="5" t="e">
        <f>100*F6/B6</f>
        <v>#DIV/0!</v>
      </c>
      <c r="H6" s="35">
        <f>B6*0.504*0.3</f>
        <v>0</v>
      </c>
      <c r="I6" s="5" t="e">
        <f>100*H6/B6</f>
        <v>#DIV/0!</v>
      </c>
      <c r="J6" s="35">
        <f>B6-D6-F6-H6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(18*0.15/2)*12.15/18</f>
        <v>0.91125</v>
      </c>
      <c r="C8" s="23">
        <f>100*B8/B8</f>
        <v>100</v>
      </c>
      <c r="D8" s="35">
        <f>B8*0.296</f>
        <v>0.26972999999999997</v>
      </c>
      <c r="E8" s="23">
        <f>100*D8/B8</f>
        <v>29.599999999999994</v>
      </c>
      <c r="F8" s="35">
        <f>B8*0.504*0.7</f>
        <v>0.32148899999999997</v>
      </c>
      <c r="G8" s="23">
        <f>100*F8/B8</f>
        <v>35.279999999999994</v>
      </c>
      <c r="H8" s="35">
        <f>B8*0.504*0.3</f>
        <v>0.137781</v>
      </c>
      <c r="I8" s="23">
        <f>100*H8/B8</f>
        <v>15.119999999999997</v>
      </c>
      <c r="J8" s="35">
        <f>B8-D8-F8-H8</f>
        <v>0.18225000000000013</v>
      </c>
      <c r="K8" s="25">
        <f>100*J8/B8</f>
        <v>20.000000000000014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(18*0.24/2+18*0.15/2)*12.15/18</f>
        <v>2.3692499999999996</v>
      </c>
      <c r="C10" s="23">
        <f>100*B10/B10</f>
        <v>100</v>
      </c>
      <c r="D10" s="35">
        <f>B10*0.296</f>
        <v>0.7012979999999999</v>
      </c>
      <c r="E10" s="23">
        <f>100*D10/B10</f>
        <v>29.6</v>
      </c>
      <c r="F10" s="35">
        <f>B10*0.504*0.7</f>
        <v>0.8358713999999998</v>
      </c>
      <c r="G10" s="23">
        <f>100*F10/B10</f>
        <v>35.279999999999994</v>
      </c>
      <c r="H10" s="35">
        <f>B10*0.504*0.3</f>
        <v>0.3582305999999999</v>
      </c>
      <c r="I10" s="23">
        <f>100*H10/B10</f>
        <v>15.12</v>
      </c>
      <c r="J10" s="35">
        <f>B10-D10-F10-H10</f>
        <v>0.47384999999999994</v>
      </c>
      <c r="K10" s="25">
        <f>100*J10/B10</f>
        <v>20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(18*0.3/2+18*0.24/2-(0.781*(30/100)/0.2))*12.15/18</f>
        <v>2.4897374999999995</v>
      </c>
      <c r="C12" s="23">
        <f>100*B12/B12</f>
        <v>100</v>
      </c>
      <c r="D12" s="35">
        <f>B12*0.296+0.001</f>
        <v>0.7379622999999998</v>
      </c>
      <c r="E12" s="23">
        <f>100*D12/B12</f>
        <v>29.64016487681934</v>
      </c>
      <c r="F12" s="35">
        <f>B12*0.504*0.7</f>
        <v>0.8783793899999996</v>
      </c>
      <c r="G12" s="23">
        <f>100*F12/B12</f>
        <v>35.279999999999994</v>
      </c>
      <c r="H12" s="35">
        <f>B12*0.504*0.3</f>
        <v>0.3764483099999999</v>
      </c>
      <c r="I12" s="23">
        <f>100*H12/B12</f>
        <v>15.12</v>
      </c>
      <c r="J12" s="35">
        <f>B12-D12-F12-H12</f>
        <v>0.4969475</v>
      </c>
      <c r="K12" s="25">
        <f>100*J12/B12</f>
        <v>19.95983512318066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(18*0.24/2+18*0.3/2-(0.78*(30/100)/0.2))*12.15/18</f>
        <v>2.49075</v>
      </c>
      <c r="C14" s="23">
        <f>100*B14/B14</f>
        <v>100</v>
      </c>
      <c r="D14" s="35">
        <f>B14*0.296+0.001</f>
        <v>0.7382619999999999</v>
      </c>
      <c r="E14" s="23">
        <f>100*D14/B14</f>
        <v>29.64014854963364</v>
      </c>
      <c r="F14" s="35">
        <f>B14*0.504*0.7</f>
        <v>0.8787365999999999</v>
      </c>
      <c r="G14" s="23">
        <f>100*F14/B14</f>
        <v>35.279999999999994</v>
      </c>
      <c r="H14" s="35">
        <f>B14*0.504*0.3-0.001</f>
        <v>0.3756013999999999</v>
      </c>
      <c r="I14" s="23">
        <f>100*H14/B14</f>
        <v>15.079851450366352</v>
      </c>
      <c r="J14" s="35">
        <f>B14-D14-F14-H14</f>
        <v>0.49815000000000026</v>
      </c>
      <c r="K14" s="25">
        <f>100*J14/B14</f>
        <v>20.00000000000001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(18*0.07/2+18*0.24/2)*12.15/18</f>
        <v>1.8832499999999999</v>
      </c>
      <c r="C16" s="23">
        <f>100*B16/B16</f>
        <v>100</v>
      </c>
      <c r="D16" s="35">
        <f>B16*0.296+0.001</f>
        <v>0.5584419999999999</v>
      </c>
      <c r="E16" s="23">
        <f>100*D16/B16</f>
        <v>29.65309969467675</v>
      </c>
      <c r="F16" s="35">
        <f>B16*0.504*0.7-0.001</f>
        <v>0.6634106</v>
      </c>
      <c r="G16" s="23">
        <f>100*F16/B16</f>
        <v>35.22690030532325</v>
      </c>
      <c r="H16" s="35">
        <f>B16*0.504*0.3</f>
        <v>0.2847474</v>
      </c>
      <c r="I16" s="23">
        <f>100*H16/B16</f>
        <v>15.12</v>
      </c>
      <c r="J16" s="35">
        <f>B16-D16-F16-H16</f>
        <v>0.37665000000000004</v>
      </c>
      <c r="K16" s="25">
        <f>100*J16/B16</f>
        <v>20.000000000000004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(18*0.07/2+(18-16.829)+(18-16.83))*12.15/18</f>
        <v>2.0054250000000007</v>
      </c>
      <c r="C18" s="23">
        <f>100*B18/B18</f>
        <v>100</v>
      </c>
      <c r="D18" s="35">
        <f>B18*0.296+0.001</f>
        <v>0.5946058000000002</v>
      </c>
      <c r="E18" s="23">
        <f>100*D18/B18</f>
        <v>29.64986474188763</v>
      </c>
      <c r="F18" s="35">
        <f>B18*0.504*0.7-0.001</f>
        <v>0.7065139400000002</v>
      </c>
      <c r="G18" s="23">
        <f>100*F18/B18</f>
        <v>35.23013525811237</v>
      </c>
      <c r="H18" s="35">
        <f>B18*0.504*0.3</f>
        <v>0.3032202600000001</v>
      </c>
      <c r="I18" s="23">
        <f>100*H18/B18</f>
        <v>15.12</v>
      </c>
      <c r="J18" s="35">
        <f>B18-D18-F18-H18</f>
        <v>0.4010850000000003</v>
      </c>
      <c r="K18" s="25">
        <f>100*J18/B18</f>
        <v>20.000000000000007</v>
      </c>
    </row>
    <row r="19" spans="1:11" s="1" customFormat="1" ht="12.75">
      <c r="A19" s="17" t="s">
        <v>43</v>
      </c>
      <c r="B19" s="7"/>
      <c r="C19" s="7"/>
      <c r="D19" s="35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12.1496625</v>
      </c>
      <c r="C20" s="24">
        <f>100*B20/B20</f>
        <v>100</v>
      </c>
      <c r="D20" s="48">
        <f>SUM(D18+D16+D14+D12+D10+D8+D6)</f>
        <v>3.6003000999999997</v>
      </c>
      <c r="E20" s="24">
        <f>100*D20/B20</f>
        <v>29.63292272521973</v>
      </c>
      <c r="F20" s="48">
        <f>SUM(F18+F16+F14+F12+F10+F8+F6)</f>
        <v>4.284400929999999</v>
      </c>
      <c r="G20" s="24">
        <f>100*F20/B20</f>
        <v>35.26353863739013</v>
      </c>
      <c r="H20" s="48">
        <f>SUM(H18+H16+H14+H12+H10+H8+H6)</f>
        <v>1.8360289699999999</v>
      </c>
      <c r="I20" s="24">
        <f>100*H20/B20</f>
        <v>15.111769318695066</v>
      </c>
      <c r="J20" s="48">
        <f>SUM(J18+J16+J14+J12+J10+J8+J6)</f>
        <v>2.428932500000001</v>
      </c>
      <c r="K20" s="26">
        <f>100*J20/B20</f>
        <v>19.991769318695077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&amp;L&amp;8&amp;A&amp;C201&amp;R&amp;8&amp;F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7109375" style="6" customWidth="1"/>
    <col min="2" max="2" width="9.140625" style="27" customWidth="1"/>
    <col min="3" max="3" width="9.57421875" style="28" customWidth="1"/>
    <col min="4" max="4" width="8.8515625" style="49" customWidth="1"/>
    <col min="6" max="6" width="8.8515625" style="49" customWidth="1"/>
    <col min="8" max="8" width="8.8515625" style="49" customWidth="1"/>
    <col min="10" max="10" width="8.8515625" style="49" customWidth="1"/>
  </cols>
  <sheetData>
    <row r="1" spans="2:11" s="6" customFormat="1" ht="13.5" thickBot="1">
      <c r="B1" s="27"/>
      <c r="C1" s="28"/>
      <c r="D1" s="27"/>
      <c r="E1" s="28"/>
      <c r="F1" s="27"/>
      <c r="G1" s="28"/>
      <c r="H1" s="27"/>
      <c r="I1" s="28"/>
      <c r="J1" s="65"/>
      <c r="K1" s="67"/>
    </row>
    <row r="2" spans="1:17" s="2" customFormat="1" ht="51" customHeight="1">
      <c r="A2" s="20" t="s">
        <v>97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29</v>
      </c>
      <c r="B4" s="29" t="s">
        <v>1</v>
      </c>
      <c r="C4" s="30" t="s">
        <v>0</v>
      </c>
      <c r="D4" s="29" t="s">
        <v>1</v>
      </c>
      <c r="E4" s="30" t="s">
        <v>0</v>
      </c>
      <c r="F4" s="29" t="s">
        <v>1</v>
      </c>
      <c r="G4" s="30" t="s">
        <v>0</v>
      </c>
      <c r="H4" s="29" t="s">
        <v>1</v>
      </c>
      <c r="I4" s="30" t="s">
        <v>0</v>
      </c>
      <c r="J4" s="29" t="s">
        <v>1</v>
      </c>
      <c r="K4" s="31" t="s">
        <v>0</v>
      </c>
    </row>
    <row r="5" spans="1:11" s="6" customFormat="1" ht="12.75">
      <c r="A5" s="12" t="s">
        <v>36</v>
      </c>
      <c r="B5" s="32"/>
      <c r="C5" s="33"/>
      <c r="D5" s="32"/>
      <c r="E5" s="33"/>
      <c r="F5" s="32"/>
      <c r="G5" s="33"/>
      <c r="H5" s="32"/>
      <c r="I5" s="33"/>
      <c r="J5" s="32"/>
      <c r="K5" s="34"/>
    </row>
    <row r="6" spans="1:11" ht="12.75">
      <c r="A6" s="14"/>
      <c r="B6" s="35">
        <v>0</v>
      </c>
      <c r="C6" s="23" t="e">
        <f>100*B6/$B$6</f>
        <v>#DIV/0!</v>
      </c>
      <c r="D6" s="36">
        <f>B6*0.2333</f>
        <v>0</v>
      </c>
      <c r="E6" s="23" t="e">
        <f>100*D6/$B$6</f>
        <v>#DIV/0!</v>
      </c>
      <c r="F6" s="36">
        <f>B6*0.3967*0.7</f>
        <v>0</v>
      </c>
      <c r="G6" s="23" t="e">
        <f>100*F6/$B$6</f>
        <v>#DIV/0!</v>
      </c>
      <c r="H6" s="36">
        <f>B6*0.3967*0.3</f>
        <v>0</v>
      </c>
      <c r="I6" s="23" t="e">
        <f>100*H6/$B$6</f>
        <v>#DIV/0!</v>
      </c>
      <c r="J6" s="36">
        <v>0</v>
      </c>
      <c r="K6" s="25" t="e">
        <f>100*J6/$B$6</f>
        <v>#DIV/0!</v>
      </c>
    </row>
    <row r="7" spans="1:11" ht="12.75">
      <c r="A7" s="15" t="s">
        <v>37</v>
      </c>
      <c r="B7" s="37"/>
      <c r="C7" s="38"/>
      <c r="D7" s="39"/>
      <c r="E7" s="40"/>
      <c r="F7" s="39"/>
      <c r="G7" s="40"/>
      <c r="H7" s="39"/>
      <c r="I7" s="40"/>
      <c r="J7" s="39"/>
      <c r="K7" s="41"/>
    </row>
    <row r="8" spans="1:11" ht="12.75">
      <c r="A8" s="14"/>
      <c r="B8" s="35">
        <f>4*25.963/24.233</f>
        <v>4.285561011843354</v>
      </c>
      <c r="C8" s="23">
        <f>100*B8/$B$8</f>
        <v>100</v>
      </c>
      <c r="D8" s="36">
        <f>B8*0.2333</f>
        <v>0.9998213840630545</v>
      </c>
      <c r="E8" s="23">
        <f>100*D8/$B$8</f>
        <v>23.33</v>
      </c>
      <c r="F8" s="36">
        <f>B8*0.3967*0.7</f>
        <v>1.190057437378781</v>
      </c>
      <c r="G8" s="23">
        <f>100*F8/$B$8</f>
        <v>27.769</v>
      </c>
      <c r="H8" s="36">
        <f>B8*0.3967*0.3</f>
        <v>0.5100246160194776</v>
      </c>
      <c r="I8" s="23">
        <f>100*H8/$B$8</f>
        <v>11.901</v>
      </c>
      <c r="J8" s="36">
        <f>B8*0.37</f>
        <v>1.5856575743820411</v>
      </c>
      <c r="K8" s="25">
        <f>100*J8/$B$8</f>
        <v>37</v>
      </c>
    </row>
    <row r="9" spans="1:11" ht="12.75">
      <c r="A9" s="15" t="s">
        <v>38</v>
      </c>
      <c r="B9" s="37"/>
      <c r="C9" s="38"/>
      <c r="D9" s="39"/>
      <c r="E9" s="40"/>
      <c r="F9" s="39"/>
      <c r="G9" s="40"/>
      <c r="H9" s="39"/>
      <c r="I9" s="40"/>
      <c r="J9" s="39"/>
      <c r="K9" s="41"/>
    </row>
    <row r="10" spans="1:11" ht="12.75">
      <c r="A10" s="14"/>
      <c r="B10" s="35">
        <f>(4-((0.585*(40/100))/0.25))*25.963/24.233</f>
        <v>3.2827397350720093</v>
      </c>
      <c r="C10" s="23">
        <f>100*B10/$B$10</f>
        <v>100</v>
      </c>
      <c r="D10" s="36">
        <f>B10*0.2333</f>
        <v>0.7658631801922998</v>
      </c>
      <c r="E10" s="23">
        <f>100*D10/$B$10</f>
        <v>23.33</v>
      </c>
      <c r="F10" s="36">
        <f>B10*0.3967*0.7</f>
        <v>0.9115839970321463</v>
      </c>
      <c r="G10" s="23">
        <f>100*F10/$B$10</f>
        <v>27.769</v>
      </c>
      <c r="H10" s="36">
        <f>B10*0.3967*0.3</f>
        <v>0.39067885587091983</v>
      </c>
      <c r="I10" s="23">
        <f>100*H10/$B$10</f>
        <v>11.901000000000002</v>
      </c>
      <c r="J10" s="36">
        <f>B10*0.37</f>
        <v>1.2146137019766434</v>
      </c>
      <c r="K10" s="25">
        <f>100*J10/$B$10</f>
        <v>37</v>
      </c>
    </row>
    <row r="11" spans="1:12" ht="12.75">
      <c r="A11" s="15" t="s">
        <v>39</v>
      </c>
      <c r="B11" s="37"/>
      <c r="C11" s="38"/>
      <c r="D11" s="39"/>
      <c r="E11" s="40"/>
      <c r="F11" s="39"/>
      <c r="G11" s="40"/>
      <c r="H11" s="39"/>
      <c r="I11" s="40"/>
      <c r="J11" s="39"/>
      <c r="K11" s="41"/>
      <c r="L11" s="42"/>
    </row>
    <row r="12" spans="1:11" ht="12.75">
      <c r="A12" s="14"/>
      <c r="B12" s="35">
        <f>(4.5-(0.383*(30/100)/0.25)-(0.161*0.5/0.25))*25.963/24.233</f>
        <v>3.9838575166095818</v>
      </c>
      <c r="C12" s="23">
        <f>100*B12/$B$12</f>
        <v>100</v>
      </c>
      <c r="D12" s="36">
        <f>B12*0.2333</f>
        <v>0.9294339586250154</v>
      </c>
      <c r="E12" s="23">
        <f>100*D12/$B$12</f>
        <v>23.330000000000002</v>
      </c>
      <c r="F12" s="36">
        <f>B12*0.3967*0.7</f>
        <v>1.1062773937873147</v>
      </c>
      <c r="G12" s="23">
        <f>100*F12/$B$12</f>
        <v>27.769000000000002</v>
      </c>
      <c r="H12" s="36">
        <f>B12*0.3967*0.3</f>
        <v>0.47411888305170635</v>
      </c>
      <c r="I12" s="23">
        <f>100*H12/$B$12</f>
        <v>11.901</v>
      </c>
      <c r="J12" s="36">
        <f>B12*0.37</f>
        <v>1.4740272811455453</v>
      </c>
      <c r="K12" s="25">
        <f>100*J12/$B$12</f>
        <v>37</v>
      </c>
    </row>
    <row r="13" spans="1:11" ht="12.75">
      <c r="A13" s="15" t="s">
        <v>40</v>
      </c>
      <c r="B13" s="37"/>
      <c r="C13" s="38"/>
      <c r="D13" s="39"/>
      <c r="E13" s="40"/>
      <c r="F13" s="39"/>
      <c r="G13" s="40"/>
      <c r="H13" s="39"/>
      <c r="I13" s="40"/>
      <c r="J13" s="39"/>
      <c r="K13" s="41"/>
    </row>
    <row r="14" spans="1:11" ht="12.75">
      <c r="A14" s="14"/>
      <c r="B14" s="35">
        <f>(4.5-(0.976*(20/100)/0.25))*25.963/24.233</f>
        <v>3.984714628811951</v>
      </c>
      <c r="C14" s="23">
        <f>100*B14/$B$14</f>
        <v>100</v>
      </c>
      <c r="D14" s="36">
        <f>B14*0.2333</f>
        <v>0.9296339229018281</v>
      </c>
      <c r="E14" s="23">
        <f>100*D14/$B$14</f>
        <v>23.33</v>
      </c>
      <c r="F14" s="36">
        <f>B14*0.3967*0.7</f>
        <v>1.1065154052747905</v>
      </c>
      <c r="G14" s="23">
        <f>100*F14/$B$14</f>
        <v>27.769</v>
      </c>
      <c r="H14" s="36">
        <f>B14*0.3967*0.3</f>
        <v>0.47422088797491024</v>
      </c>
      <c r="I14" s="23">
        <f>100*H14/$B$14</f>
        <v>11.900999999999998</v>
      </c>
      <c r="J14" s="36">
        <f>B14*0.37</f>
        <v>1.4743444126604217</v>
      </c>
      <c r="K14" s="25">
        <f>100*J14/$B$14</f>
        <v>37</v>
      </c>
    </row>
    <row r="15" spans="1:11" ht="12.75">
      <c r="A15" s="15" t="s">
        <v>41</v>
      </c>
      <c r="B15" s="37"/>
      <c r="C15" s="38"/>
      <c r="D15" s="39"/>
      <c r="E15" s="40"/>
      <c r="F15" s="39"/>
      <c r="G15" s="40"/>
      <c r="H15" s="39"/>
      <c r="I15" s="40"/>
      <c r="J15" s="39"/>
      <c r="K15" s="41"/>
    </row>
    <row r="16" spans="1:11" ht="12.75">
      <c r="A16" s="14"/>
      <c r="B16" s="35">
        <f>(4+(24.233-23.773))*25.963/24.233</f>
        <v>4.77840052820534</v>
      </c>
      <c r="C16" s="23">
        <f>100*B16/$B$16</f>
        <v>100</v>
      </c>
      <c r="D16" s="36">
        <f>B16*0.2333</f>
        <v>1.114800843230306</v>
      </c>
      <c r="E16" s="23">
        <f>100*D16/$B$16</f>
        <v>23.330000000000005</v>
      </c>
      <c r="F16" s="36">
        <f>B16*0.3967*0.7</f>
        <v>1.326914042677341</v>
      </c>
      <c r="G16" s="23">
        <f>100*F16/$B$16</f>
        <v>27.769000000000002</v>
      </c>
      <c r="H16" s="36">
        <f>B16*0.3967*0.3</f>
        <v>0.5686774468617175</v>
      </c>
      <c r="I16" s="23">
        <f>100*H16/$B$16</f>
        <v>11.900999999999998</v>
      </c>
      <c r="J16" s="36">
        <f>B16*0.37</f>
        <v>1.7680081954359759</v>
      </c>
      <c r="K16" s="25">
        <f>100*J16/$B$16</f>
        <v>37</v>
      </c>
    </row>
    <row r="17" spans="1:11" ht="12.75">
      <c r="A17" s="15" t="s">
        <v>42</v>
      </c>
      <c r="B17" s="37"/>
      <c r="C17" s="38"/>
      <c r="D17" s="39"/>
      <c r="E17" s="40"/>
      <c r="F17" s="39"/>
      <c r="G17" s="40"/>
      <c r="H17" s="39"/>
      <c r="I17" s="40"/>
      <c r="J17" s="39"/>
      <c r="K17" s="41"/>
    </row>
    <row r="18" spans="1:11" ht="12.75">
      <c r="A18" s="14"/>
      <c r="B18" s="35">
        <f>(3.233+(24.233-23.297)+(24.233-23.911)+(24.233-23.453))*25.963/24.233</f>
        <v>5.647298023356582</v>
      </c>
      <c r="C18" s="23">
        <f>100*B18/$B$18</f>
        <v>100</v>
      </c>
      <c r="D18" s="36">
        <f>B18*0.2333+0.001</f>
        <v>1.3185146288490905</v>
      </c>
      <c r="E18" s="23">
        <f>100*D18/$B$18</f>
        <v>23.347707583270157</v>
      </c>
      <c r="F18" s="36">
        <f>B18*0.3967*0.7-0.001</f>
        <v>1.5671981881058892</v>
      </c>
      <c r="G18" s="23">
        <f>100*F18/$B$18</f>
        <v>27.75129241672984</v>
      </c>
      <c r="H18" s="36">
        <f>B18*0.3967*0.3</f>
        <v>0.6720849377596668</v>
      </c>
      <c r="I18" s="23">
        <f>100*H18/$B$18</f>
        <v>11.901000000000002</v>
      </c>
      <c r="J18" s="36">
        <f>B18*0.37</f>
        <v>2.089500268641935</v>
      </c>
      <c r="K18" s="25">
        <f>100*J18/$B$18</f>
        <v>37</v>
      </c>
    </row>
    <row r="19" spans="1:11" ht="12.75">
      <c r="A19" s="17" t="s">
        <v>43</v>
      </c>
      <c r="B19" s="43"/>
      <c r="C19" s="44"/>
      <c r="D19" s="45"/>
      <c r="E19" s="46"/>
      <c r="F19" s="45"/>
      <c r="G19" s="46"/>
      <c r="H19" s="45"/>
      <c r="I19" s="46"/>
      <c r="J19" s="45"/>
      <c r="K19" s="47"/>
    </row>
    <row r="20" spans="1:11" s="51" customFormat="1" ht="13.5" thickBot="1">
      <c r="A20" s="19"/>
      <c r="B20" s="48">
        <f>SUM(B18+B16+B14+B12+B10+B8+B6)</f>
        <v>25.962571443898817</v>
      </c>
      <c r="C20" s="24">
        <f>100*B20/$B$20</f>
        <v>100.00000000000001</v>
      </c>
      <c r="D20" s="48">
        <f>SUM(D18+D16+D14+D12+D10+D8+D6)</f>
        <v>6.058067917861594</v>
      </c>
      <c r="E20" s="24">
        <f>100*D20/$B$20</f>
        <v>23.33385169859681</v>
      </c>
      <c r="F20" s="48">
        <f>SUM(F18+F16+F14+F12+F10+F8+F6)</f>
        <v>7.208546464256261</v>
      </c>
      <c r="G20" s="24">
        <f>100*F20/$B$20</f>
        <v>27.765148301403187</v>
      </c>
      <c r="H20" s="48">
        <f>SUM(H18+H16+H14+H12+H10+H8+H6)</f>
        <v>3.0898056275383983</v>
      </c>
      <c r="I20" s="24">
        <f>100*H20/$B$20</f>
        <v>11.901</v>
      </c>
      <c r="J20" s="48">
        <f>SUM(J18+J16+J14+J12+J10+J8+J6)</f>
        <v>9.606151434242564</v>
      </c>
      <c r="K20" s="26">
        <f>100*J20/$B$20</f>
        <v>37.00000000000001</v>
      </c>
    </row>
  </sheetData>
  <mergeCells count="6">
    <mergeCell ref="B2:C3"/>
    <mergeCell ref="J2:K3"/>
    <mergeCell ref="D2:I2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&amp;L&amp;8&amp;A&amp;C202&amp;R&amp;8&amp;F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A2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38.25" customHeight="1">
      <c r="A2" s="20" t="s">
        <v>98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30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D6+F6</f>
        <v>0</v>
      </c>
      <c r="C6" s="23" t="e">
        <f>100*B6/B6</f>
        <v>#DIV/0!</v>
      </c>
      <c r="D6" s="35">
        <v>0</v>
      </c>
      <c r="E6" s="23" t="e">
        <f>100*D6/B6</f>
        <v>#DIV/0!</v>
      </c>
      <c r="F6" s="35">
        <f>D6</f>
        <v>0</v>
      </c>
      <c r="G6" s="23" t="e">
        <f>100*F6/B6</f>
        <v>#DIV/0!</v>
      </c>
      <c r="H6" s="35">
        <f>B6*0</f>
        <v>0</v>
      </c>
      <c r="I6" s="23" t="e">
        <f>100*H6/B6</f>
        <v>#DIV/0!</v>
      </c>
      <c r="J6" s="35">
        <f>B6*0</f>
        <v>0</v>
      </c>
      <c r="K6" s="25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v>0.75</v>
      </c>
      <c r="C8" s="23">
        <f>100*B8/B8</f>
        <v>100</v>
      </c>
      <c r="D8" s="35">
        <f>B8*0.5</f>
        <v>0.375</v>
      </c>
      <c r="E8" s="23">
        <f>100*D8/B8</f>
        <v>50</v>
      </c>
      <c r="F8" s="35">
        <f>B8*0.5</f>
        <v>0.375</v>
      </c>
      <c r="G8" s="23">
        <f>100*F8/B8</f>
        <v>50</v>
      </c>
      <c r="H8" s="35">
        <f>B8*0</f>
        <v>0</v>
      </c>
      <c r="I8" s="23">
        <f>100*H8/B8</f>
        <v>0</v>
      </c>
      <c r="J8" s="35">
        <f>B8*0</f>
        <v>0</v>
      </c>
      <c r="K8" s="25">
        <f>100*J8/B8</f>
        <v>0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v>0.75</v>
      </c>
      <c r="C10" s="23">
        <f>100*B10/B10</f>
        <v>100</v>
      </c>
      <c r="D10" s="35">
        <f>B10*0.5</f>
        <v>0.375</v>
      </c>
      <c r="E10" s="23">
        <f>100*D10/B10</f>
        <v>50</v>
      </c>
      <c r="F10" s="35">
        <f>B10*0.5</f>
        <v>0.375</v>
      </c>
      <c r="G10" s="23">
        <f>100*F10/B10</f>
        <v>50</v>
      </c>
      <c r="H10" s="35">
        <f>B10*0</f>
        <v>0</v>
      </c>
      <c r="I10" s="23">
        <f>100*H10/B10</f>
        <v>0</v>
      </c>
      <c r="J10" s="35">
        <f>B10*0</f>
        <v>0</v>
      </c>
      <c r="K10" s="25">
        <f>100*J10/B10</f>
        <v>0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v>0.75</v>
      </c>
      <c r="C12" s="23">
        <f>100*B12/B12</f>
        <v>100</v>
      </c>
      <c r="D12" s="35">
        <f>B12*0.5</f>
        <v>0.375</v>
      </c>
      <c r="E12" s="23">
        <f>100*D12/B12</f>
        <v>50</v>
      </c>
      <c r="F12" s="35">
        <f>B12*0.5</f>
        <v>0.375</v>
      </c>
      <c r="G12" s="23">
        <f>100*F12/B12</f>
        <v>50</v>
      </c>
      <c r="H12" s="35">
        <f>B12*0</f>
        <v>0</v>
      </c>
      <c r="I12" s="23">
        <f>100*H12/B12</f>
        <v>0</v>
      </c>
      <c r="J12" s="35">
        <f>B12*0</f>
        <v>0</v>
      </c>
      <c r="K12" s="25">
        <f>100*J12/B12</f>
        <v>0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v>15.75</v>
      </c>
      <c r="C14" s="23">
        <f>100*B14/B14</f>
        <v>100</v>
      </c>
      <c r="D14" s="35">
        <f>B14*0.5</f>
        <v>7.875</v>
      </c>
      <c r="E14" s="23">
        <f>100*D14/B14</f>
        <v>50</v>
      </c>
      <c r="F14" s="35">
        <f>B14*0.5</f>
        <v>7.875</v>
      </c>
      <c r="G14" s="23">
        <f>100*F14/B14</f>
        <v>50</v>
      </c>
      <c r="H14" s="35">
        <f>B14*0</f>
        <v>0</v>
      </c>
      <c r="I14" s="23">
        <f>100*H14/B14</f>
        <v>0</v>
      </c>
      <c r="J14" s="35">
        <f>B14*0</f>
        <v>0</v>
      </c>
      <c r="K14" s="25">
        <f>100*J14/B14</f>
        <v>0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v>15.75</v>
      </c>
      <c r="C16" s="23">
        <f>100*B16/B16</f>
        <v>100</v>
      </c>
      <c r="D16" s="35">
        <f>B16*0.5</f>
        <v>7.875</v>
      </c>
      <c r="E16" s="23">
        <f>100*D16/B16</f>
        <v>50</v>
      </c>
      <c r="F16" s="35">
        <f>B16*0.5</f>
        <v>7.875</v>
      </c>
      <c r="G16" s="23">
        <f>100*F16/B16</f>
        <v>50</v>
      </c>
      <c r="H16" s="35">
        <f>B16*0</f>
        <v>0</v>
      </c>
      <c r="I16" s="23">
        <f>100*H16/B16</f>
        <v>0</v>
      </c>
      <c r="J16" s="35">
        <f>B16*0</f>
        <v>0</v>
      </c>
      <c r="K16" s="25">
        <f>100*J16/B16</f>
        <v>0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v>15.75</v>
      </c>
      <c r="C18" s="23">
        <f>100*B18/B18</f>
        <v>100</v>
      </c>
      <c r="D18" s="35">
        <f>B18*0.5</f>
        <v>7.875</v>
      </c>
      <c r="E18" s="23">
        <f>100*D18/B18</f>
        <v>50</v>
      </c>
      <c r="F18" s="35">
        <f>B18*0.5</f>
        <v>7.875</v>
      </c>
      <c r="G18" s="23">
        <f>100*F18/B18</f>
        <v>50</v>
      </c>
      <c r="H18" s="35">
        <f>B18*0</f>
        <v>0</v>
      </c>
      <c r="I18" s="23">
        <f>100*H18/B18</f>
        <v>0</v>
      </c>
      <c r="J18" s="35">
        <f>B18*0</f>
        <v>0</v>
      </c>
      <c r="K18" s="25">
        <f>100*J18/B18</f>
        <v>0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49.5</v>
      </c>
      <c r="C20" s="24">
        <f>100*B20/B20</f>
        <v>100</v>
      </c>
      <c r="D20" s="48">
        <f>SUM(D18+D16+D14+D12+D10+D8+D6)</f>
        <v>24.75</v>
      </c>
      <c r="E20" s="24">
        <f>100*D20/B20</f>
        <v>50</v>
      </c>
      <c r="F20" s="48">
        <f>SUM(F18+F16+F14+F12+F10+F8+F6)</f>
        <v>24.75</v>
      </c>
      <c r="G20" s="24">
        <f>100*F20/B20</f>
        <v>50</v>
      </c>
      <c r="H20" s="48">
        <f>SUM(H18+H16+H14+H12+H10+H8+H6)</f>
        <v>0</v>
      </c>
      <c r="I20" s="24">
        <f>100*H20/B20</f>
        <v>0</v>
      </c>
      <c r="J20" s="48">
        <f>SUM(J18+J16+J14+J12+J10+J8+J6)</f>
        <v>0</v>
      </c>
      <c r="K20" s="26">
        <f>100*J20/B20</f>
        <v>0</v>
      </c>
    </row>
    <row r="22" ht="12.75">
      <c r="B22" s="27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&amp;L&amp;8&amp;A&amp;C205&amp;R&amp;8&amp;F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89.25">
      <c r="A2" s="20" t="s">
        <v>73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4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'5) sottoasse 1'!B6+'6) sottoasse 2'!B6+'7) sottoasse 3'!B6</f>
        <v>0</v>
      </c>
      <c r="C6" s="23" t="e">
        <f>100*B6/B6</f>
        <v>#DIV/0!</v>
      </c>
      <c r="D6" s="35">
        <f>'5) sottoasse 1'!D6+'6) sottoasse 2'!D6+'7) sottoasse 3'!D6</f>
        <v>0</v>
      </c>
      <c r="E6" s="23" t="e">
        <f>100*D6/B6</f>
        <v>#DIV/0!</v>
      </c>
      <c r="F6" s="35">
        <f>'5) sottoasse 1'!F6+'6) sottoasse 2'!F6+'7) sottoasse 3'!F6</f>
        <v>0</v>
      </c>
      <c r="G6" s="5" t="e">
        <f>100*F6/B6</f>
        <v>#DIV/0!</v>
      </c>
      <c r="H6" s="35">
        <f>'5) sottoasse 1'!H6+'6) sottoasse 2'!H6+'7) sottoasse 3'!H6</f>
        <v>0</v>
      </c>
      <c r="I6" s="5" t="e">
        <f>100*H6/B6</f>
        <v>#DIV/0!</v>
      </c>
      <c r="J6" s="35">
        <f>'5) sottoasse 1'!J6+'6) sottoasse 2'!J6+'7) sottoasse 3'!J6</f>
        <v>0</v>
      </c>
      <c r="K6" s="25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'5) sottoasse 1'!B8+'6) sottoasse 2'!B8+'7) sottoasse 3'!B8</f>
        <v>18.871416666666665</v>
      </c>
      <c r="C8" s="23">
        <f>100*B8/B8</f>
        <v>100</v>
      </c>
      <c r="D8" s="35">
        <f>'5) sottoasse 1'!D8+'6) sottoasse 2'!D8+'7) sottoasse 3'!D8</f>
        <v>3.1760212500000002</v>
      </c>
      <c r="E8" s="23">
        <f>100*D8/B8</f>
        <v>16.82979770994052</v>
      </c>
      <c r="F8" s="35">
        <f>'5) sottoasse 1'!F8+'6) sottoasse 2'!F8+'7) sottoasse 3'!F8</f>
        <v>3.8647030416666666</v>
      </c>
      <c r="G8" s="23">
        <f>100*F8/B8</f>
        <v>20.479135774120476</v>
      </c>
      <c r="H8" s="35">
        <f>'5) sottoasse 1'!H8+'6) sottoasse 2'!H8+'7) sottoasse 3'!H8</f>
        <v>1.6567298750000001</v>
      </c>
      <c r="I8" s="23">
        <f>100*H8/B8</f>
        <v>8.779043482868714</v>
      </c>
      <c r="J8" s="35">
        <f>'5) sottoasse 1'!J8+'6) sottoasse 2'!J8+'7) sottoasse 3'!J8</f>
        <v>10.173962500000002</v>
      </c>
      <c r="K8" s="25">
        <f>100*J8/B8</f>
        <v>53.91202303307031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'5) sottoasse 1'!B10+'6) sottoasse 2'!B10+'7) sottoasse 3'!B10</f>
        <v>19.838383333333333</v>
      </c>
      <c r="C10" s="23">
        <f>100*B10/B10</f>
        <v>100</v>
      </c>
      <c r="D10" s="35">
        <f>'5) sottoasse 1'!D10+'6) sottoasse 2'!D10+'7) sottoasse 3'!D10</f>
        <v>3.40851215</v>
      </c>
      <c r="E10" s="23">
        <f>100*D10/B10</f>
        <v>17.181400786186376</v>
      </c>
      <c r="F10" s="35">
        <f>'5) sottoasse 1'!F10+'6) sottoasse 2'!F10+'7) sottoasse 3'!F10</f>
        <v>4.137833911666666</v>
      </c>
      <c r="G10" s="23">
        <f>100*F10/B10</f>
        <v>20.85771729551215</v>
      </c>
      <c r="H10" s="35">
        <f>'5) sottoasse 1'!H10+'6) sottoasse 2'!H10+'7) sottoasse 3'!H10</f>
        <v>1.7416431049999999</v>
      </c>
      <c r="I10" s="23">
        <f>100*H10/B10</f>
        <v>8.779158441170022</v>
      </c>
      <c r="J10" s="35">
        <f>'5) sottoasse 1'!J10+'6) sottoasse 2'!J10+'7) sottoasse 3'!J10</f>
        <v>10.54939416666667</v>
      </c>
      <c r="K10" s="25">
        <f>100*J10/B10</f>
        <v>53.17668274380558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'5) sottoasse 1'!B12+'6) sottoasse 2'!B12+'7) sottoasse 3'!B12</f>
        <v>20.033983333333335</v>
      </c>
      <c r="C12" s="23">
        <f>100*B12/B12</f>
        <v>100</v>
      </c>
      <c r="D12" s="35">
        <f>'5) sottoasse 1'!D12+'6) sottoasse 2'!D12+'7) sottoasse 3'!D12</f>
        <v>3.45426975</v>
      </c>
      <c r="E12" s="23">
        <f>100*D12/B12</f>
        <v>17.24205163060433</v>
      </c>
      <c r="F12" s="35">
        <f>'5) sottoasse 1'!F12+'6) sottoasse 2'!F12+'7) sottoasse 3'!F12</f>
        <v>4.206002925</v>
      </c>
      <c r="G12" s="23">
        <f>100*F12/B12</f>
        <v>20.994341739327925</v>
      </c>
      <c r="H12" s="35">
        <f>'5) sottoasse 1'!H12+'6) sottoasse 2'!H12+'7) sottoasse 3'!H12</f>
        <v>1.769429825</v>
      </c>
      <c r="I12" s="23">
        <f>100*H12/B12</f>
        <v>8.83214184398343</v>
      </c>
      <c r="J12" s="35">
        <f>'5) sottoasse 1'!J12+'6) sottoasse 2'!J12+'7) sottoasse 3'!J12</f>
        <v>10.604280833333336</v>
      </c>
      <c r="K12" s="25">
        <f>100*J12/B12</f>
        <v>52.93146478608433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'5) sottoasse 1'!B14+'6) sottoasse 2'!B14+'7) sottoasse 3'!B14</f>
        <v>21.927316666666666</v>
      </c>
      <c r="C14" s="23">
        <f>100*B14/B14</f>
        <v>100</v>
      </c>
      <c r="D14" s="35">
        <f>'5) sottoasse 1'!D14+'6) sottoasse 2'!D14+'7) sottoasse 3'!D14</f>
        <v>3.73826975</v>
      </c>
      <c r="E14" s="23">
        <f>100*D14/B14</f>
        <v>17.048459721853792</v>
      </c>
      <c r="F14" s="35">
        <f>'5) sottoasse 1'!F14+'6) sottoasse 2'!F14+'7) sottoasse 3'!F14</f>
        <v>4.629809591666667</v>
      </c>
      <c r="G14" s="23">
        <f>100*F14/B14</f>
        <v>21.114346374651404</v>
      </c>
      <c r="H14" s="35">
        <f>'5) sottoasse 1'!H14+'6) sottoasse 2'!H14+'7) sottoasse 3'!H14</f>
        <v>1.9524898249999998</v>
      </c>
      <c r="I14" s="23">
        <f>100*H14/B14</f>
        <v>8.904371905971166</v>
      </c>
      <c r="J14" s="35">
        <f>'5) sottoasse 1'!J14+'6) sottoasse 2'!J14+'7) sottoasse 3'!J14</f>
        <v>11.6067475</v>
      </c>
      <c r="K14" s="25">
        <f>100*J14/B14</f>
        <v>52.93282199752365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'5) sottoasse 1'!B16+'6) sottoasse 2'!B16+'7) sottoasse 3'!B16</f>
        <v>22.87965</v>
      </c>
      <c r="C16" s="23">
        <f>100*B16/B16</f>
        <v>100</v>
      </c>
      <c r="D16" s="35">
        <f>'5) sottoasse 1'!D16+'6) sottoasse 2'!D16+'7) sottoasse 3'!D16</f>
        <v>3.8811197500000008</v>
      </c>
      <c r="E16" s="23">
        <f>100*D16/B16</f>
        <v>16.963195459720758</v>
      </c>
      <c r="F16" s="35">
        <f>'5) sottoasse 1'!F16+'6) sottoasse 2'!F16+'7) sottoasse 3'!F16</f>
        <v>4.794834591666667</v>
      </c>
      <c r="G16" s="23">
        <f>100*F16/B16</f>
        <v>20.956765473539438</v>
      </c>
      <c r="H16" s="35">
        <f>'5) sottoasse 1'!H16+'6) sottoasse 2'!H16+'7) sottoasse 3'!H16</f>
        <v>2.023214825</v>
      </c>
      <c r="I16" s="23">
        <f>100*H16/B16</f>
        <v>8.842857408220842</v>
      </c>
      <c r="J16" s="35">
        <f>'5) sottoasse 1'!J16+'6) sottoasse 2'!J16+'7) sottoasse 3'!J16</f>
        <v>12.181480833333335</v>
      </c>
      <c r="K16" s="25">
        <f>100*J16/B16</f>
        <v>53.24155235474902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'5) sottoasse 1'!B18+'6) sottoasse 2'!B18+'7) sottoasse 3'!B18</f>
        <v>23.411983333333335</v>
      </c>
      <c r="C18" s="23">
        <f>100*B18/B18</f>
        <v>100.00000000000001</v>
      </c>
      <c r="D18" s="35">
        <f>'5) sottoasse 1'!D18+'6) sottoasse 2'!D18+'7) sottoasse 3'!D18</f>
        <v>3.9629697500000005</v>
      </c>
      <c r="E18" s="23">
        <f>100*D18/B18</f>
        <v>16.927099654806405</v>
      </c>
      <c r="F18" s="35">
        <f>'5) sottoasse 1'!F18+'6) sottoasse 2'!F18+'7) sottoasse 3'!F18</f>
        <v>4.900369591666667</v>
      </c>
      <c r="G18" s="23">
        <f>100*F18/B18</f>
        <v>20.931031437604247</v>
      </c>
      <c r="H18" s="35">
        <f>'5) sottoasse 1'!H18+'6) sottoasse 2'!H18+'7) sottoasse 3'!H18</f>
        <v>2.068729825</v>
      </c>
      <c r="I18" s="23">
        <f>100*H18/B18</f>
        <v>8.836200656501406</v>
      </c>
      <c r="J18" s="35">
        <f>'5) sottoasse 1'!J18+'6) sottoasse 2'!J18+'7) sottoasse 3'!J18</f>
        <v>12.480914166666668</v>
      </c>
      <c r="K18" s="25">
        <f>100*J18/B18</f>
        <v>53.30993956798478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126.96273333333333</v>
      </c>
      <c r="C20" s="24">
        <f>100*B20/B20</f>
        <v>100</v>
      </c>
      <c r="D20" s="48">
        <f>SUM(D18+D16+D14+D12+D10+D8+D6)</f>
        <v>21.621162400000003</v>
      </c>
      <c r="E20" s="24">
        <f>100*D20/B20</f>
        <v>17.029534440814917</v>
      </c>
      <c r="F20" s="48">
        <f>SUM(F18+F16+F14+F12+F10+F8+F6)</f>
        <v>26.533553653333335</v>
      </c>
      <c r="G20" s="24">
        <f>100*F20/B20</f>
        <v>20.89869440954065</v>
      </c>
      <c r="H20" s="48">
        <f>SUM(H18+H16+H14+H12+H10+H8+H6)</f>
        <v>11.21223728</v>
      </c>
      <c r="I20" s="24">
        <f>100*H20/B20</f>
        <v>8.831124681730754</v>
      </c>
      <c r="J20" s="48">
        <f>SUM(J18+J16+J14+J12+J10+J8+J6)</f>
        <v>67.59678000000001</v>
      </c>
      <c r="K20" s="26">
        <f>100*J20/B20</f>
        <v>53.24143410061011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&amp;L&amp;8&amp;A&amp;C179&amp;R&amp;8&amp;F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76.5">
      <c r="A2" s="20" t="s">
        <v>99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31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23" t="e">
        <f>100*B6/B6</f>
        <v>#DIV/0!</v>
      </c>
      <c r="D6" s="35">
        <f>B6*0.3</f>
        <v>0</v>
      </c>
      <c r="E6" s="23" t="e">
        <f>100*D6/B6</f>
        <v>#DIV/0!</v>
      </c>
      <c r="F6" s="35">
        <f>B6*0.5</f>
        <v>0</v>
      </c>
      <c r="G6" s="23" t="e">
        <f>100*F6/B6</f>
        <v>#DIV/0!</v>
      </c>
      <c r="H6" s="35">
        <f>B6*0.2</f>
        <v>0</v>
      </c>
      <c r="I6" s="23" t="e">
        <f>100*H6/B6</f>
        <v>#DIV/0!</v>
      </c>
      <c r="J6" s="35">
        <v>0</v>
      </c>
      <c r="K6" s="25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SUM(D8+F8)</f>
        <v>4.13</v>
      </c>
      <c r="C8" s="23">
        <f>100*B8/B8</f>
        <v>100</v>
      </c>
      <c r="D8" s="35">
        <f>8.99*0.3-0.62-0.012</f>
        <v>2.065</v>
      </c>
      <c r="E8" s="23">
        <f>100*D8/B8</f>
        <v>50</v>
      </c>
      <c r="F8" s="35">
        <f>D8</f>
        <v>2.065</v>
      </c>
      <c r="G8" s="23">
        <f>100*F8/B8</f>
        <v>50</v>
      </c>
      <c r="H8" s="35">
        <v>0</v>
      </c>
      <c r="I8" s="23">
        <f>100*H8/B8</f>
        <v>0</v>
      </c>
      <c r="J8" s="35">
        <v>0</v>
      </c>
      <c r="K8" s="25">
        <f>100*J8/B8</f>
        <v>0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SUM(D10+F10)</f>
        <v>4.504</v>
      </c>
      <c r="C10" s="23">
        <f>100*B10/B10</f>
        <v>100</v>
      </c>
      <c r="D10" s="35">
        <f>8.99*0.3-0.45+0.005</f>
        <v>2.252</v>
      </c>
      <c r="E10" s="23">
        <f>100*D10/B10</f>
        <v>50</v>
      </c>
      <c r="F10" s="35">
        <f>D10</f>
        <v>2.252</v>
      </c>
      <c r="G10" s="23">
        <f>100*F10/B10</f>
        <v>50</v>
      </c>
      <c r="H10" s="35">
        <v>0</v>
      </c>
      <c r="I10" s="23">
        <f>100*H10/B10</f>
        <v>0</v>
      </c>
      <c r="J10" s="35">
        <v>0</v>
      </c>
      <c r="K10" s="25">
        <f>100*J10/B10</f>
        <v>0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SUM(D12+F12)</f>
        <v>5.434</v>
      </c>
      <c r="C12" s="23">
        <f>100*B12/B12</f>
        <v>99.99999999999999</v>
      </c>
      <c r="D12" s="35">
        <f>8.99*0.3+0.02</f>
        <v>2.717</v>
      </c>
      <c r="E12" s="23">
        <f>100*D12/B12</f>
        <v>49.99999999999999</v>
      </c>
      <c r="F12" s="35">
        <f>D12</f>
        <v>2.717</v>
      </c>
      <c r="G12" s="23">
        <f>100*F12/B12</f>
        <v>49.99999999999999</v>
      </c>
      <c r="H12" s="35">
        <v>0</v>
      </c>
      <c r="I12" s="23">
        <f>100*H12/B12</f>
        <v>0</v>
      </c>
      <c r="J12" s="35">
        <v>0</v>
      </c>
      <c r="K12" s="25">
        <f>100*J12/B12</f>
        <v>0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SUM(D14+F14)</f>
        <v>5.432</v>
      </c>
      <c r="C14" s="23">
        <f>100*B14/B14</f>
        <v>100</v>
      </c>
      <c r="D14" s="35">
        <f>8.99*0.3+0.019</f>
        <v>2.716</v>
      </c>
      <c r="E14" s="23">
        <f>100*D14/B14</f>
        <v>50</v>
      </c>
      <c r="F14" s="35">
        <f>D14</f>
        <v>2.716</v>
      </c>
      <c r="G14" s="23">
        <f>100*F14/B14</f>
        <v>50</v>
      </c>
      <c r="H14" s="35">
        <v>0</v>
      </c>
      <c r="I14" s="23">
        <f>100*H14/B14</f>
        <v>0</v>
      </c>
      <c r="J14" s="35">
        <v>0</v>
      </c>
      <c r="K14" s="25">
        <f>100*J14/B14</f>
        <v>0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SUM(D16+F16)</f>
        <v>5.442</v>
      </c>
      <c r="C16" s="23">
        <f>100*B16/B16</f>
        <v>100</v>
      </c>
      <c r="D16" s="35">
        <f>8.99*0.3+0.024</f>
        <v>2.721</v>
      </c>
      <c r="E16" s="23">
        <f>100*D16/B16</f>
        <v>50</v>
      </c>
      <c r="F16" s="35">
        <f>D16</f>
        <v>2.721</v>
      </c>
      <c r="G16" s="23">
        <f>100*F16/B16</f>
        <v>50</v>
      </c>
      <c r="H16" s="35">
        <v>0</v>
      </c>
      <c r="I16" s="23">
        <f>100*H16/B16</f>
        <v>0</v>
      </c>
      <c r="J16" s="35">
        <v>0</v>
      </c>
      <c r="K16" s="25">
        <f>100*J16/B16</f>
        <v>0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SUM(D18+F18)</f>
        <v>5.4178</v>
      </c>
      <c r="C18" s="23">
        <f>100*B18/B18</f>
        <v>100</v>
      </c>
      <c r="D18" s="35">
        <f>8.983*0.3+0.014</f>
        <v>2.7089</v>
      </c>
      <c r="E18" s="23">
        <f>100*D18/B18</f>
        <v>50</v>
      </c>
      <c r="F18" s="35">
        <f>D18</f>
        <v>2.7089</v>
      </c>
      <c r="G18" s="23">
        <f>100*F18/B18</f>
        <v>50</v>
      </c>
      <c r="H18" s="35">
        <v>0</v>
      </c>
      <c r="I18" s="23">
        <f>100*H18/B18</f>
        <v>0</v>
      </c>
      <c r="J18" s="35">
        <v>0</v>
      </c>
      <c r="K18" s="25">
        <f>100*J18/B18</f>
        <v>0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30.359800000000003</v>
      </c>
      <c r="C20" s="24">
        <f>100*B20/B20</f>
        <v>100</v>
      </c>
      <c r="D20" s="48">
        <f>SUM(D18+D16+D14+D12+D10+D8+D6)</f>
        <v>15.179900000000002</v>
      </c>
      <c r="E20" s="24">
        <f>100*D20/B20</f>
        <v>50</v>
      </c>
      <c r="F20" s="48">
        <f>SUM(F18+F16+F14+F12+F10+F8+F6)</f>
        <v>15.179900000000002</v>
      </c>
      <c r="G20" s="24">
        <f>100*F20/B20</f>
        <v>50</v>
      </c>
      <c r="H20" s="48">
        <f>SUM(H18+H16+H14+H12+H10+H8+H6)</f>
        <v>0</v>
      </c>
      <c r="I20" s="24">
        <f>100*H20/B20</f>
        <v>0</v>
      </c>
      <c r="J20" s="48">
        <f>SUM(J18+J16+J14+J12+J10+J8+J6)</f>
        <v>0</v>
      </c>
      <c r="K20" s="26">
        <f>100*J20/B20</f>
        <v>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&amp;L&amp;8&amp;A&amp;C206&amp;R&amp;8&amp;F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114.75">
      <c r="A2" s="20" t="s">
        <v>100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32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5" t="e">
        <f>100*B6/B6</f>
        <v>#DIV/0!</v>
      </c>
      <c r="D6" s="35">
        <f>B6*0.185</f>
        <v>0</v>
      </c>
      <c r="E6" s="5" t="e">
        <f>100*D6/B6</f>
        <v>#DIV/0!</v>
      </c>
      <c r="F6" s="35">
        <f>B6*0.221</f>
        <v>0</v>
      </c>
      <c r="G6" s="5" t="e">
        <f>100*F6/B6</f>
        <v>#DIV/0!</v>
      </c>
      <c r="H6" s="35">
        <f>B6*0.0945</f>
        <v>0</v>
      </c>
      <c r="I6" s="5" t="e">
        <f>100*H6/B6</f>
        <v>#DIV/0!</v>
      </c>
      <c r="J6" s="35">
        <f>B6-D6-F6-H6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v>0</v>
      </c>
      <c r="C8" s="5" t="e">
        <f>100*B8/B8</f>
        <v>#DIV/0!</v>
      </c>
      <c r="D8" s="35">
        <f>B8*0.185</f>
        <v>0</v>
      </c>
      <c r="E8" s="5" t="e">
        <f>100*D8/B8</f>
        <v>#DIV/0!</v>
      </c>
      <c r="F8" s="35">
        <f>B8*0.221</f>
        <v>0</v>
      </c>
      <c r="G8" s="5" t="e">
        <f>100*F8/B8</f>
        <v>#DIV/0!</v>
      </c>
      <c r="H8" s="35">
        <f>B8*0.0945</f>
        <v>0</v>
      </c>
      <c r="I8" s="5" t="e">
        <f>100*H8/B8</f>
        <v>#DIV/0!</v>
      </c>
      <c r="J8" s="35">
        <f>B8-D8-F8-H8</f>
        <v>0</v>
      </c>
      <c r="K8" s="10" t="e">
        <f>100*J8/B8</f>
        <v>#DIV/0!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1.319/5/2</f>
        <v>0.1319</v>
      </c>
      <c r="C10" s="23">
        <f>100*B10/B10</f>
        <v>100</v>
      </c>
      <c r="D10" s="35">
        <f>B10*0.185</f>
        <v>0.024401499999999996</v>
      </c>
      <c r="E10" s="23">
        <f>100*D10/B10</f>
        <v>18.5</v>
      </c>
      <c r="F10" s="35">
        <f>B10*0.221</f>
        <v>0.0291499</v>
      </c>
      <c r="G10" s="23">
        <f>100*F10/B10</f>
        <v>22.1</v>
      </c>
      <c r="H10" s="35">
        <f>B10*0.0945</f>
        <v>0.01246455</v>
      </c>
      <c r="I10" s="23">
        <f>100*H10/B10</f>
        <v>9.45</v>
      </c>
      <c r="J10" s="35">
        <f>B10-D10-F10-H10</f>
        <v>0.06588404999999999</v>
      </c>
      <c r="K10" s="25">
        <f>100*J10/B10</f>
        <v>49.949999999999996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(1.319-0.132)/4</f>
        <v>0.29674999999999996</v>
      </c>
      <c r="C12" s="23">
        <f>100*B12/B12</f>
        <v>100</v>
      </c>
      <c r="D12" s="35">
        <f>B12*0.185</f>
        <v>0.05489874999999999</v>
      </c>
      <c r="E12" s="23">
        <f>100*D12/B12</f>
        <v>18.5</v>
      </c>
      <c r="F12" s="35">
        <f>B12*0.221</f>
        <v>0.06558175</v>
      </c>
      <c r="G12" s="23">
        <f>100*F12/B12</f>
        <v>22.1</v>
      </c>
      <c r="H12" s="35">
        <f>B12*0.0945</f>
        <v>0.028042874999999995</v>
      </c>
      <c r="I12" s="23">
        <f>100*H12/B12</f>
        <v>9.45</v>
      </c>
      <c r="J12" s="35">
        <f>B12-D12-F12-H12</f>
        <v>0.14822662499999997</v>
      </c>
      <c r="K12" s="25">
        <f>100*J12/B12</f>
        <v>49.95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(1.319-0.132)/4</f>
        <v>0.29674999999999996</v>
      </c>
      <c r="C14" s="23">
        <f>100*B14/B14</f>
        <v>100</v>
      </c>
      <c r="D14" s="35">
        <f>B14*0.185</f>
        <v>0.05489874999999999</v>
      </c>
      <c r="E14" s="23">
        <f>100*D14/B14</f>
        <v>18.5</v>
      </c>
      <c r="F14" s="35">
        <f>B14*0.221</f>
        <v>0.06558175</v>
      </c>
      <c r="G14" s="23">
        <f>100*F14/B14</f>
        <v>22.1</v>
      </c>
      <c r="H14" s="35">
        <f>B14*0.0945</f>
        <v>0.028042874999999995</v>
      </c>
      <c r="I14" s="23">
        <f>100*H14/B14</f>
        <v>9.45</v>
      </c>
      <c r="J14" s="35">
        <f>B14-D14-F14-H14</f>
        <v>0.14822662499999997</v>
      </c>
      <c r="K14" s="25">
        <f>100*J14/B14</f>
        <v>49.95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(1.319-0.132)/4</f>
        <v>0.29674999999999996</v>
      </c>
      <c r="C16" s="23">
        <f>100*B16/B16</f>
        <v>100</v>
      </c>
      <c r="D16" s="35">
        <f>B16*0.185</f>
        <v>0.05489874999999999</v>
      </c>
      <c r="E16" s="23">
        <f>100*D16/B16</f>
        <v>18.5</v>
      </c>
      <c r="F16" s="35">
        <f>B16*0.221</f>
        <v>0.06558175</v>
      </c>
      <c r="G16" s="23">
        <f>100*F16/B16</f>
        <v>22.1</v>
      </c>
      <c r="H16" s="35">
        <f>B16*0.0945</f>
        <v>0.028042874999999995</v>
      </c>
      <c r="I16" s="23">
        <f>100*H16/B16</f>
        <v>9.45</v>
      </c>
      <c r="J16" s="35">
        <f>B16-D16-F16-H16</f>
        <v>0.14822662499999997</v>
      </c>
      <c r="K16" s="25">
        <f>100*J16/B16</f>
        <v>49.95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(1.319-0.132)/4</f>
        <v>0.29674999999999996</v>
      </c>
      <c r="C18" s="23">
        <f>100*B18/B18</f>
        <v>100</v>
      </c>
      <c r="D18" s="35">
        <f>B18*0.185</f>
        <v>0.05489874999999999</v>
      </c>
      <c r="E18" s="23">
        <f>100*D18/B18</f>
        <v>18.5</v>
      </c>
      <c r="F18" s="35">
        <f>B18*0.221</f>
        <v>0.06558175</v>
      </c>
      <c r="G18" s="23">
        <f>100*F18/B18</f>
        <v>22.1</v>
      </c>
      <c r="H18" s="35">
        <f>B18*0.0945</f>
        <v>0.028042874999999995</v>
      </c>
      <c r="I18" s="23">
        <f>100*H18/B18</f>
        <v>9.45</v>
      </c>
      <c r="J18" s="35">
        <f>B18-D18-F18-H18</f>
        <v>0.14822662499999997</v>
      </c>
      <c r="K18" s="25">
        <f>100*J18/B18</f>
        <v>49.95</v>
      </c>
    </row>
    <row r="19" spans="1:11" s="1" customFormat="1" ht="12.75">
      <c r="A19" s="17" t="s">
        <v>43</v>
      </c>
      <c r="B19" s="7"/>
      <c r="C19" s="7"/>
      <c r="D19" s="35"/>
      <c r="E19" s="7"/>
      <c r="F19" s="35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1.3188999999999997</v>
      </c>
      <c r="C20" s="24">
        <f>100*B20/B20</f>
        <v>100.00000000000001</v>
      </c>
      <c r="D20" s="48">
        <f>SUM(D18+D16+D14+D12+D10+D8+D6)</f>
        <v>0.24399649999999995</v>
      </c>
      <c r="E20" s="24">
        <f>100*D20/B20</f>
        <v>18.5</v>
      </c>
      <c r="F20" s="48">
        <f>SUM(F18+F16+F14+F12+F10+F8+F6)</f>
        <v>0.2914769</v>
      </c>
      <c r="G20" s="24">
        <f>100*F20/B20</f>
        <v>22.1</v>
      </c>
      <c r="H20" s="48">
        <f>SUM(H18+H16+H14+H12+H10+H8+H6)</f>
        <v>0.12463604999999998</v>
      </c>
      <c r="I20" s="24">
        <f>100*H20/B20</f>
        <v>9.45</v>
      </c>
      <c r="J20" s="48">
        <f>SUM(J18+J16+J14+J12+J10+J8+J6)</f>
        <v>0.6587905499999999</v>
      </c>
      <c r="K20" s="26">
        <f>100*J20/B20</f>
        <v>49.949999999999996</v>
      </c>
    </row>
    <row r="22" ht="12.75">
      <c r="D22" s="27"/>
    </row>
    <row r="23" ht="12.75">
      <c r="D23" s="27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&amp;L&amp;8&amp;A&amp;C207&amp;R&amp;8&amp;F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="95" zoomScaleNormal="95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8.57421875" style="6" bestFit="1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127.5">
      <c r="A2" s="20" t="s">
        <v>101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33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+'24bis 15B 1'!B6+'24ter 15 B 2'!B6</f>
        <v>0</v>
      </c>
      <c r="C6" s="5" t="e">
        <f>100*B6/B6</f>
        <v>#DIV/0!</v>
      </c>
      <c r="D6" s="35">
        <f>+'24bis 15B 1'!D6+'24ter 15 B 2'!D6</f>
        <v>0</v>
      </c>
      <c r="E6" s="5" t="e">
        <f>100*D6/B6</f>
        <v>#DIV/0!</v>
      </c>
      <c r="F6" s="35">
        <f>+'24bis 15B 1'!F6+'24ter 15 B 2'!F6</f>
        <v>0</v>
      </c>
      <c r="G6" s="5" t="e">
        <f>100*F6/B6</f>
        <v>#DIV/0!</v>
      </c>
      <c r="H6" s="35">
        <f>+'24bis 15B 1'!H6+'24ter 15 B 2'!H6</f>
        <v>0</v>
      </c>
      <c r="I6" s="5" t="e">
        <f>100*H6/B6</f>
        <v>#DIV/0!</v>
      </c>
      <c r="J6" s="35">
        <f>+'24bis 15B 1'!J6+'24ter 15 B 2'!J6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+'24bis 15B 1'!B8+'24ter 15 B 2'!B8</f>
        <v>5.678</v>
      </c>
      <c r="C8" s="23">
        <f>100*B8/B8</f>
        <v>100</v>
      </c>
      <c r="D8" s="35">
        <f>+'24bis 15B 1'!D8+'24ter 15 B 2'!D8</f>
        <v>1.204688</v>
      </c>
      <c r="E8" s="23">
        <f>100*D8/B8</f>
        <v>21.21676646706587</v>
      </c>
      <c r="F8" s="35">
        <f>+'24bis 15B 1'!F8+'24ter 15 B 2'!F8</f>
        <v>1.4336284</v>
      </c>
      <c r="G8" s="23">
        <f>100*F8/B8</f>
        <v>25.248827051778797</v>
      </c>
      <c r="H8" s="35">
        <f>+'24bis 15B 1'!H8+'24ter 15 B 2'!H8</f>
        <v>0.6139836000000001</v>
      </c>
      <c r="I8" s="23">
        <f>100*H8/B8</f>
        <v>10.81337794998239</v>
      </c>
      <c r="J8" s="35">
        <f>+'24bis 15B 1'!J8+'24ter 15 B 2'!J8</f>
        <v>2.4256999999999995</v>
      </c>
      <c r="K8" s="25">
        <f>100*J8/B8</f>
        <v>42.72102853117294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+'24bis 15B 1'!B10+'24ter 15 B 2'!B10</f>
        <v>4.839</v>
      </c>
      <c r="C10" s="23">
        <f>100*B10/B10</f>
        <v>100</v>
      </c>
      <c r="D10" s="35">
        <f>+'24bis 15B 1'!D10+'24ter 15 B 2'!D10</f>
        <v>1.026656</v>
      </c>
      <c r="E10" s="23">
        <f>100*D10/B10</f>
        <v>21.216284356271956</v>
      </c>
      <c r="F10" s="35">
        <f>+'24bis 15B 1'!F10+'24ter 15 B 2'!F10</f>
        <v>1.2219008000000002</v>
      </c>
      <c r="G10" s="23">
        <f>100*F10/B10</f>
        <v>25.251101467245302</v>
      </c>
      <c r="H10" s="35">
        <f>+'24bis 15B 1'!H10+'24ter 15 B 2'!H10</f>
        <v>0.5242432000000001</v>
      </c>
      <c r="I10" s="23">
        <f>100*H10/B10</f>
        <v>10.833709444100023</v>
      </c>
      <c r="J10" s="35">
        <f>+'24bis 15B 1'!J10+'24ter 15 B 2'!J10</f>
        <v>2.0662000000000003</v>
      </c>
      <c r="K10" s="25">
        <f>100*J10/B10</f>
        <v>42.69890473238273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+'24bis 15B 1'!B12+'24ter 15 B 2'!B12</f>
        <v>4.891</v>
      </c>
      <c r="C12" s="23">
        <f>100*B12/B12</f>
        <v>100</v>
      </c>
      <c r="D12" s="35">
        <f>+'24bis 15B 1'!D12+'24ter 15 B 2'!D12</f>
        <v>1.037696</v>
      </c>
      <c r="E12" s="23">
        <f>100*D12/B12</f>
        <v>21.21643835616438</v>
      </c>
      <c r="F12" s="35">
        <f>+'24bis 15B 1'!F12+'24ter 15 B 2'!F12</f>
        <v>1.2350328</v>
      </c>
      <c r="G12" s="23">
        <f>100*F12/B12</f>
        <v>25.251130648129216</v>
      </c>
      <c r="H12" s="35">
        <f>+'24bis 15B 1'!H12+'24ter 15 B 2'!H12</f>
        <v>0.5288712</v>
      </c>
      <c r="I12" s="23">
        <f>100*H12/B12</f>
        <v>10.813150684931506</v>
      </c>
      <c r="J12" s="35">
        <f>+'24bis 15B 1'!J12+'24ter 15 B 2'!J12</f>
        <v>2.0894</v>
      </c>
      <c r="K12" s="25">
        <f>100*J12/B12</f>
        <v>42.71928031077489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+'24bis 15B 1'!B14+'24ter 15 B 2'!B14</f>
        <v>5.349</v>
      </c>
      <c r="C14" s="23">
        <f>100*B14/B14</f>
        <v>99.99999999999999</v>
      </c>
      <c r="D14" s="35">
        <f>+'24bis 15B 1'!D14+'24ter 15 B 2'!D14</f>
        <v>1.134912</v>
      </c>
      <c r="E14" s="23">
        <f>100*D14/B14</f>
        <v>21.21727425687044</v>
      </c>
      <c r="F14" s="35">
        <f>+'24bis 15B 1'!F14+'24ter 15 B 2'!F14-0.002</f>
        <v>1.3496616</v>
      </c>
      <c r="G14" s="23">
        <f>100*F14/B14</f>
        <v>25.23203589455973</v>
      </c>
      <c r="H14" s="35">
        <f>+'24bis 15B 1'!H14+'24ter 15 B 2'!H14</f>
        <v>0.5794264</v>
      </c>
      <c r="I14" s="23">
        <f>100*H14/B14</f>
        <v>10.832424752290146</v>
      </c>
      <c r="J14" s="35">
        <f>+'24bis 15B 1'!J14+'24ter 15 B 2'!J14</f>
        <v>2.2830000000000004</v>
      </c>
      <c r="K14" s="25">
        <f>100*J14/B14</f>
        <v>42.68087492989344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+'24bis 15B 1'!B16+'24ter 15 B 2'!B16</f>
        <v>6.463</v>
      </c>
      <c r="C16" s="23">
        <f>100*B16/B16</f>
        <v>99.99999999999999</v>
      </c>
      <c r="D16" s="35">
        <f>+'24bis 15B 1'!D16+'24ter 15 B 2'!D16+0.001</f>
        <v>1.3722239999999999</v>
      </c>
      <c r="E16" s="23">
        <f>100*D16/B16</f>
        <v>21.231997524369486</v>
      </c>
      <c r="F16" s="35">
        <f>+'24bis 15B 1'!F16+'24ter 15 B 2'!F16-0.001</f>
        <v>1.6316682</v>
      </c>
      <c r="G16" s="23">
        <f>100*F16/B16</f>
        <v>25.246297385115273</v>
      </c>
      <c r="H16" s="35">
        <f>+'24bis 15B 1'!H16+'24ter 15 B 2'!H16</f>
        <v>0.6998578000000001</v>
      </c>
      <c r="I16" s="23">
        <f>100*H16/B16</f>
        <v>10.828683274021353</v>
      </c>
      <c r="J16" s="35">
        <f>+'24bis 15B 1'!J16+'24ter 15 B 2'!J16</f>
        <v>2.7592499999999998</v>
      </c>
      <c r="K16" s="25">
        <f>100*J16/B16</f>
        <v>42.69302181649388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+'24bis 15B 1'!B18+'24ter 15 B 2'!B18</f>
        <v>6.848</v>
      </c>
      <c r="C18" s="23">
        <f>100*B18/B18</f>
        <v>100</v>
      </c>
      <c r="D18" s="35">
        <f>+'24bis 15B 1'!D18+'24ter 15 B 2'!D18</f>
        <v>1.451952</v>
      </c>
      <c r="E18" s="23">
        <f>100*D18/B18</f>
        <v>21.202570093457943</v>
      </c>
      <c r="F18" s="35">
        <f>+'24bis 15B 1'!F18+'24ter 15 B 2'!F18-0.001</f>
        <v>1.7288786000000003</v>
      </c>
      <c r="G18" s="23">
        <f>100*F18/B18</f>
        <v>25.246474883177573</v>
      </c>
      <c r="H18" s="35">
        <f>+'24bis 15B 1'!H18+'24ter 15 B 2'!H18</f>
        <v>0.7405193999999999</v>
      </c>
      <c r="I18" s="23">
        <f>100*H18/B18</f>
        <v>10.81365946261682</v>
      </c>
      <c r="J18" s="35">
        <f>+'24bis 15B 1'!J18+'24ter 15 B 2'!J18</f>
        <v>2.92565</v>
      </c>
      <c r="K18" s="25">
        <f>100*J18/B18</f>
        <v>42.72269275700935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34.068</v>
      </c>
      <c r="C20" s="24">
        <f>100*B20/B20</f>
        <v>100</v>
      </c>
      <c r="D20" s="48">
        <f>SUM(D18+D16+D14+D12+D10+D8+D6)</f>
        <v>7.228128</v>
      </c>
      <c r="E20" s="24">
        <f>100*D20/B20</f>
        <v>21.21676646706587</v>
      </c>
      <c r="F20" s="48">
        <f>SUM(F18+F16+F14+F12+F10+F8+F6)+0.001</f>
        <v>8.6017704</v>
      </c>
      <c r="G20" s="24">
        <f>100*F20/B20</f>
        <v>25.248827051778793</v>
      </c>
      <c r="H20" s="48">
        <f>SUM(H18+H16+H14+H12+H10+H8+H6)</f>
        <v>3.6869015999999997</v>
      </c>
      <c r="I20" s="24">
        <f>100*H20/B20</f>
        <v>10.822183867559</v>
      </c>
      <c r="J20" s="48">
        <f>SUM(J18+J16+J14+J12+J10+J8+J6)</f>
        <v>14.549199999999999</v>
      </c>
      <c r="K20" s="26">
        <f>100*J20/B20</f>
        <v>42.70635200187859</v>
      </c>
    </row>
    <row r="22" spans="2:10" ht="12.75">
      <c r="B22" s="27"/>
      <c r="D22" s="27"/>
      <c r="F22" s="27"/>
      <c r="H22" s="27"/>
      <c r="J22" s="27"/>
    </row>
    <row r="23" spans="5:6" ht="12.75">
      <c r="E23" s="27"/>
      <c r="F23" s="27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&amp;L&amp;8&amp;A&amp;C208&amp;R&amp;8&amp;F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95" zoomScaleNormal="95" workbookViewId="0" topLeftCell="A2">
      <selection activeCell="B22" sqref="B22"/>
    </sheetView>
  </sheetViews>
  <sheetFormatPr defaultColWidth="9.140625" defaultRowHeight="12.75"/>
  <cols>
    <col min="1" max="1" width="24.8515625" style="6" customWidth="1"/>
    <col min="2" max="2" width="8.5742187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127.5">
      <c r="A2" s="20" t="s">
        <v>102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34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5" t="e">
        <f>100*B6/B6</f>
        <v>#DIV/0!</v>
      </c>
      <c r="D6" s="35">
        <f>B6*0.296</f>
        <v>0</v>
      </c>
      <c r="E6" s="5" t="e">
        <f>100*D6/B6</f>
        <v>#DIV/0!</v>
      </c>
      <c r="F6" s="35">
        <f>B6*(0.85-0.296)*0.7</f>
        <v>0</v>
      </c>
      <c r="G6" s="5" t="e">
        <f>100*F6/B6</f>
        <v>#DIV/0!</v>
      </c>
      <c r="H6" s="35">
        <f>B6*(0.85-0.296)*0.3</f>
        <v>0</v>
      </c>
      <c r="I6" s="5" t="e">
        <f>100*H6/B6</f>
        <v>#DIV/0!</v>
      </c>
      <c r="J6" s="35">
        <f>B6-D6-F6-H6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v>2.178</v>
      </c>
      <c r="C8" s="23">
        <f>100*B8/B8</f>
        <v>100</v>
      </c>
      <c r="D8" s="35">
        <f>B8*0.296</f>
        <v>0.6446879999999999</v>
      </c>
      <c r="E8" s="23">
        <f>100*D8/B8</f>
        <v>29.599999999999994</v>
      </c>
      <c r="F8" s="35">
        <f>B8*(0.85-0.296)*0.7+0.001</f>
        <v>0.8456284</v>
      </c>
      <c r="G8" s="23">
        <f>100*F8/B8</f>
        <v>38.82591368227732</v>
      </c>
      <c r="H8" s="35">
        <f>B8*(0.85-0.296)*0.3</f>
        <v>0.3619836</v>
      </c>
      <c r="I8" s="23">
        <f>100*H8/B8</f>
        <v>16.62</v>
      </c>
      <c r="J8" s="35">
        <f>B8-D8-F8-H8</f>
        <v>0.32570000000000005</v>
      </c>
      <c r="K8" s="25">
        <f>100*J8/B8</f>
        <v>14.954086317722686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v>1.856</v>
      </c>
      <c r="C10" s="23">
        <f>100*B10/B10</f>
        <v>100.00000000000001</v>
      </c>
      <c r="D10" s="35">
        <f>B10*0.296</f>
        <v>0.549376</v>
      </c>
      <c r="E10" s="23">
        <f>100*D10/B10</f>
        <v>29.599999999999998</v>
      </c>
      <c r="F10" s="35">
        <f>B10*(0.85-0.296)*0.7+0.001</f>
        <v>0.7207568000000001</v>
      </c>
      <c r="G10" s="23">
        <f>100*F10/B10</f>
        <v>38.83387931034483</v>
      </c>
      <c r="H10" s="35">
        <f>B10*(0.85-0.296)*0.3+0.001</f>
        <v>0.30946720000000005</v>
      </c>
      <c r="I10" s="23">
        <f>100*H10/B10</f>
        <v>16.67387931034483</v>
      </c>
      <c r="J10" s="35">
        <f>B10-D10-F10-H10</f>
        <v>0.2764000000000001</v>
      </c>
      <c r="K10" s="25">
        <f>100*J10/B10</f>
        <v>14.892241379310349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v>1.876</v>
      </c>
      <c r="C12" s="23">
        <f>100*B12/B12</f>
        <v>100</v>
      </c>
      <c r="D12" s="35">
        <f>B12*0.296</f>
        <v>0.5552959999999999</v>
      </c>
      <c r="E12" s="23">
        <f>100*D12/B12</f>
        <v>29.599999999999994</v>
      </c>
      <c r="F12" s="35">
        <f>B12*(0.85-0.296)*0.7+0.001</f>
        <v>0.7285128</v>
      </c>
      <c r="G12" s="23">
        <f>100*F12/B12</f>
        <v>38.833304904051175</v>
      </c>
      <c r="H12" s="35">
        <f>B12*(0.85-0.296)*0.3</f>
        <v>0.3117912</v>
      </c>
      <c r="I12" s="23">
        <f>100*H12/B12</f>
        <v>16.62</v>
      </c>
      <c r="J12" s="35">
        <f>B12-D12-F12-H12</f>
        <v>0.28040000000000015</v>
      </c>
      <c r="K12" s="25">
        <f>100*J12/B12</f>
        <v>14.946695095948835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v>2.052</v>
      </c>
      <c r="C14" s="23">
        <f>100*B14/B14</f>
        <v>100</v>
      </c>
      <c r="D14" s="35">
        <f>B14*0.296</f>
        <v>0.6073919999999999</v>
      </c>
      <c r="E14" s="23">
        <f>100*D14/B14</f>
        <v>29.599999999999998</v>
      </c>
      <c r="F14" s="35">
        <f>B14*(0.85-0.296)*0.7+0.002</f>
        <v>0.7977656</v>
      </c>
      <c r="G14" s="23">
        <f>100*F14/B14</f>
        <v>38.87746588693957</v>
      </c>
      <c r="H14" s="35">
        <f>B14*(0.85-0.296)*0.3+0.001</f>
        <v>0.3420424</v>
      </c>
      <c r="I14" s="23">
        <f>100*H14/B14</f>
        <v>16.668732943469788</v>
      </c>
      <c r="J14" s="35">
        <f>B14-D14-F14-H14</f>
        <v>0.3048000000000001</v>
      </c>
      <c r="K14" s="25">
        <f>100*J14/B14</f>
        <v>14.853801169590648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v>2.479</v>
      </c>
      <c r="C16" s="23">
        <f>100*B16/B16</f>
        <v>100</v>
      </c>
      <c r="D16" s="35">
        <f>B16*0.296-0.001</f>
        <v>0.732784</v>
      </c>
      <c r="E16" s="23">
        <f>100*D16/B16</f>
        <v>29.559661153691007</v>
      </c>
      <c r="F16" s="35">
        <f>B16*(0.85-0.296)*0.7+0.002</f>
        <v>0.9633562</v>
      </c>
      <c r="G16" s="23">
        <f>100*F16/B16</f>
        <v>38.86067769261799</v>
      </c>
      <c r="H16" s="35">
        <f>B16*(0.85-0.296)*0.3+0.001</f>
        <v>0.41300980000000004</v>
      </c>
      <c r="I16" s="23">
        <f>100*H16/B16</f>
        <v>16.660338846308996</v>
      </c>
      <c r="J16" s="35">
        <f>B16-D16-F16-H16</f>
        <v>0.36984999999999996</v>
      </c>
      <c r="K16" s="25">
        <f>100*J16/B16</f>
        <v>14.919322307382005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v>2.627</v>
      </c>
      <c r="C18" s="23">
        <f>100*B18/B18</f>
        <v>100</v>
      </c>
      <c r="D18" s="35">
        <f>B18*0.296</f>
        <v>0.777592</v>
      </c>
      <c r="E18" s="23">
        <f>100*D18/B18</f>
        <v>29.6</v>
      </c>
      <c r="F18" s="35">
        <f>B18*(0.85-0.296)*0.7+0.002</f>
        <v>1.0207506</v>
      </c>
      <c r="G18" s="23">
        <f>100*F18/B18</f>
        <v>38.85613247049867</v>
      </c>
      <c r="H18" s="35">
        <f>B18*(0.85-0.296)*0.3</f>
        <v>0.4366074</v>
      </c>
      <c r="I18" s="23">
        <f>100*H18/B18</f>
        <v>16.62</v>
      </c>
      <c r="J18" s="35">
        <f>B18-D18-F18-H18</f>
        <v>0.39205</v>
      </c>
      <c r="K18" s="25">
        <f>100*J18/B18</f>
        <v>14.923867529501333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13.067999999999998</v>
      </c>
      <c r="C20" s="24">
        <f>100*B20/B20</f>
        <v>100</v>
      </c>
      <c r="D20" s="48">
        <f>SUM(D18+D16+D14+D12+D10+D8+D6)</f>
        <v>3.8671279999999997</v>
      </c>
      <c r="E20" s="24">
        <f>100*D20/B20</f>
        <v>29.59234771962045</v>
      </c>
      <c r="F20" s="48">
        <f>SUM(F18+F16+F14+F12+F10+F8+F6)</f>
        <v>5.0767704</v>
      </c>
      <c r="G20" s="24">
        <f>100*F20/B20</f>
        <v>38.84887052341598</v>
      </c>
      <c r="H20" s="48">
        <f>SUM(H18+H16+H14+H12+H10+H8+H6)</f>
        <v>2.1749016</v>
      </c>
      <c r="I20" s="24">
        <f>100*H20/B20</f>
        <v>16.642956841138663</v>
      </c>
      <c r="J20" s="48">
        <f>SUM(J18+J16+J14+J12+J10+J8+J6)</f>
        <v>1.9492000000000005</v>
      </c>
      <c r="K20" s="26">
        <f>100*J20/B20</f>
        <v>14.915824915824922</v>
      </c>
    </row>
    <row r="22" spans="2:10" ht="12.75">
      <c r="B22" s="27"/>
      <c r="D22" s="27"/>
      <c r="F22" s="27"/>
      <c r="H22" s="27"/>
      <c r="J22" s="27"/>
    </row>
    <row r="23" spans="5:6" ht="12.75">
      <c r="E23" s="27"/>
      <c r="F23" s="27"/>
    </row>
    <row r="24" ht="12.75">
      <c r="E24" s="63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&amp;L&amp;8&amp;A&amp;C209&amp;R&amp;8&amp;F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="95" zoomScaleNormal="95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8.5742187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63.75">
      <c r="A2" s="20" t="s">
        <v>103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35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v>0</v>
      </c>
      <c r="C6" s="5" t="e">
        <f>100*B6/B6</f>
        <v>#DIV/0!</v>
      </c>
      <c r="D6" s="35">
        <f>B6*0.16</f>
        <v>0</v>
      </c>
      <c r="E6" s="5" t="e">
        <f>100*D6/B6</f>
        <v>#DIV/0!</v>
      </c>
      <c r="F6" s="35">
        <f>B6*(0.4-0.16)*0.7</f>
        <v>0</v>
      </c>
      <c r="G6" s="5" t="e">
        <f>100*F6/B6</f>
        <v>#DIV/0!</v>
      </c>
      <c r="H6" s="35">
        <f>B6*(0.4-0.16)*0.3</f>
        <v>0</v>
      </c>
      <c r="I6" s="5" t="e">
        <f>100*H6/B6</f>
        <v>#DIV/0!</v>
      </c>
      <c r="J6" s="35">
        <f>B6-D6-F6-H6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v>3.5</v>
      </c>
      <c r="C8" s="23">
        <f>100*B8/B8</f>
        <v>100</v>
      </c>
      <c r="D8" s="35">
        <f>B8*0.16</f>
        <v>0.56</v>
      </c>
      <c r="E8" s="23">
        <f>100*D8/B8</f>
        <v>16.000000000000004</v>
      </c>
      <c r="F8" s="35">
        <f>B8*(0.4-0.16)*0.7</f>
        <v>0.588</v>
      </c>
      <c r="G8" s="23">
        <f>100*F8/B8</f>
        <v>16.8</v>
      </c>
      <c r="H8" s="35">
        <f>B8*(0.4-0.16)*0.3</f>
        <v>0.252</v>
      </c>
      <c r="I8" s="23">
        <f>100*H8/B8</f>
        <v>7.2</v>
      </c>
      <c r="J8" s="35">
        <f>B8-D8-F8-H8</f>
        <v>2.0999999999999996</v>
      </c>
      <c r="K8" s="25">
        <f>100*J8/B8</f>
        <v>59.99999999999999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v>2.983</v>
      </c>
      <c r="C10" s="23">
        <f>100*B10/B10</f>
        <v>100</v>
      </c>
      <c r="D10" s="35">
        <f>B10*0.16</f>
        <v>0.47728000000000004</v>
      </c>
      <c r="E10" s="23">
        <f>100*D10/B10</f>
        <v>16</v>
      </c>
      <c r="F10" s="35">
        <f>B10*(0.4-0.16)*0.7</f>
        <v>0.501144</v>
      </c>
      <c r="G10" s="23">
        <f>100*F10/B10</f>
        <v>16.8</v>
      </c>
      <c r="H10" s="35">
        <f>B10*(0.4-0.16)*0.3</f>
        <v>0.21477600000000002</v>
      </c>
      <c r="I10" s="23">
        <f>100*H10/B10</f>
        <v>7.2</v>
      </c>
      <c r="J10" s="35">
        <f>B10-D10-F10-H10</f>
        <v>1.7898</v>
      </c>
      <c r="K10" s="25">
        <f>100*J10/B10</f>
        <v>60.00000000000001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v>3.015</v>
      </c>
      <c r="C12" s="23">
        <f>100*B12/B12</f>
        <v>100</v>
      </c>
      <c r="D12" s="35">
        <f>B12*0.16</f>
        <v>0.48240000000000005</v>
      </c>
      <c r="E12" s="23">
        <f>100*D12/B12</f>
        <v>16</v>
      </c>
      <c r="F12" s="35">
        <f>B12*(0.4-0.16)*0.7</f>
        <v>0.5065200000000001</v>
      </c>
      <c r="G12" s="23">
        <f>100*F12/B12</f>
        <v>16.8</v>
      </c>
      <c r="H12" s="35">
        <f>B12*(0.4-0.16)*0.3</f>
        <v>0.21708000000000002</v>
      </c>
      <c r="I12" s="23">
        <f>100*H12/B12</f>
        <v>7.2</v>
      </c>
      <c r="J12" s="35">
        <f>B12-D12-F12-H12</f>
        <v>1.809</v>
      </c>
      <c r="K12" s="25">
        <f>100*J12/B12</f>
        <v>60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v>3.297</v>
      </c>
      <c r="C14" s="23">
        <f>100*B14/B14</f>
        <v>99.99999999999999</v>
      </c>
      <c r="D14" s="35">
        <f>B14*0.16</f>
        <v>0.52752</v>
      </c>
      <c r="E14" s="23">
        <f>100*D14/B14</f>
        <v>15.999999999999998</v>
      </c>
      <c r="F14" s="35">
        <f>B14*(0.4-0.16)*0.7</f>
        <v>0.553896</v>
      </c>
      <c r="G14" s="23">
        <f>100*F14/B14</f>
        <v>16.8</v>
      </c>
      <c r="H14" s="35">
        <f>B14*(0.4-0.16)*0.3</f>
        <v>0.237384</v>
      </c>
      <c r="I14" s="23">
        <f>100*H14/B14</f>
        <v>7.2</v>
      </c>
      <c r="J14" s="35">
        <f>B14-D14-F14-H14</f>
        <v>1.9782000000000002</v>
      </c>
      <c r="K14" s="25">
        <f>100*J14/B14</f>
        <v>60.00000000000001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v>3.984</v>
      </c>
      <c r="C16" s="23">
        <f>100*B16/B16</f>
        <v>100</v>
      </c>
      <c r="D16" s="35">
        <f>B16*0.16+0.001</f>
        <v>0.63844</v>
      </c>
      <c r="E16" s="23">
        <f>100*D16/B16</f>
        <v>16.025100401606426</v>
      </c>
      <c r="F16" s="35">
        <f>B16*(0.4-0.16)*0.7</f>
        <v>0.669312</v>
      </c>
      <c r="G16" s="23">
        <f>100*F16/B16</f>
        <v>16.8</v>
      </c>
      <c r="H16" s="35">
        <f>B16*(0.4-0.16)*0.3</f>
        <v>0.28684800000000005</v>
      </c>
      <c r="I16" s="23">
        <f>100*H16/B16</f>
        <v>7.200000000000002</v>
      </c>
      <c r="J16" s="35">
        <f>B16-D16-F16-H16</f>
        <v>2.3893999999999997</v>
      </c>
      <c r="K16" s="25">
        <f>100*J16/B16</f>
        <v>59.97489959839357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v>4.221</v>
      </c>
      <c r="C18" s="23">
        <f>100*B18/B18</f>
        <v>100</v>
      </c>
      <c r="D18" s="35">
        <f>B18*0.16-0.001</f>
        <v>0.6743600000000001</v>
      </c>
      <c r="E18" s="23">
        <f>100*D18/B18</f>
        <v>15.976308931532813</v>
      </c>
      <c r="F18" s="35">
        <f>B18*(0.4-0.16)*0.7</f>
        <v>0.7091280000000001</v>
      </c>
      <c r="G18" s="23">
        <f>100*F18/B18</f>
        <v>16.8</v>
      </c>
      <c r="H18" s="35">
        <f>B18*(0.4-0.16)*0.3</f>
        <v>0.303912</v>
      </c>
      <c r="I18" s="23">
        <f>100*H18/B18</f>
        <v>7.2</v>
      </c>
      <c r="J18" s="35">
        <f>B18-D18-F18-H18</f>
        <v>2.5336</v>
      </c>
      <c r="K18" s="25">
        <f>100*J18/B18</f>
        <v>60.02369106846718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21</v>
      </c>
      <c r="C20" s="24">
        <f>100*B20/B20</f>
        <v>100</v>
      </c>
      <c r="D20" s="48">
        <f>SUM(D18+D16+D14+D12+D10+D8+D6)</f>
        <v>3.3600000000000003</v>
      </c>
      <c r="E20" s="24">
        <f>100*D20/B20</f>
        <v>16.000000000000004</v>
      </c>
      <c r="F20" s="48">
        <f>SUM(F18+F16+F14+F12+F10+F8+F6)</f>
        <v>3.5280000000000005</v>
      </c>
      <c r="G20" s="24">
        <f>100*F20/B20</f>
        <v>16.800000000000004</v>
      </c>
      <c r="H20" s="48">
        <f>SUM(H18+H16+H14+H12+H10+H8+H6)</f>
        <v>1.5120000000000002</v>
      </c>
      <c r="I20" s="24">
        <f>100*H20/B20</f>
        <v>7.200000000000001</v>
      </c>
      <c r="J20" s="48">
        <f>SUM(J18+J16+J14+J12+J10+J8+J6)</f>
        <v>12.6</v>
      </c>
      <c r="K20" s="26">
        <f>100*J20/B20</f>
        <v>60</v>
      </c>
    </row>
    <row r="22" spans="2:10" ht="12.75">
      <c r="B22" s="27"/>
      <c r="D22" s="27"/>
      <c r="F22" s="27"/>
      <c r="H22" s="27"/>
      <c r="J22" s="27"/>
    </row>
    <row r="23" spans="5:6" ht="12.75">
      <c r="E23" s="27"/>
      <c r="F23" s="27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&amp;L&amp;8&amp;A&amp;C210&amp;R&amp;8&amp;F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102">
      <c r="A2" s="20" t="s">
        <v>106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74" t="s">
        <v>107</v>
      </c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5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s="2" customFormat="1" ht="25.5">
      <c r="A5" s="22" t="s">
        <v>67</v>
      </c>
      <c r="B5" s="4"/>
      <c r="C5" s="4"/>
      <c r="D5" s="4"/>
      <c r="E5" s="4"/>
      <c r="F5" s="4"/>
      <c r="G5" s="4"/>
      <c r="H5" s="4"/>
      <c r="I5" s="4"/>
      <c r="J5" s="4"/>
      <c r="K5" s="11"/>
    </row>
    <row r="6" spans="1:11" ht="12.75">
      <c r="A6" s="12" t="s">
        <v>50</v>
      </c>
      <c r="B6" s="8"/>
      <c r="C6" s="8"/>
      <c r="D6" s="8"/>
      <c r="E6" s="8"/>
      <c r="F6" s="8"/>
      <c r="G6" s="8"/>
      <c r="H6" s="8"/>
      <c r="I6" s="8"/>
      <c r="J6" s="8"/>
      <c r="K6" s="13"/>
    </row>
    <row r="7" spans="1:11" ht="12.75">
      <c r="A7" s="14"/>
      <c r="B7" s="35">
        <f>'8) misura 1'!B20</f>
        <v>43.99999999999999</v>
      </c>
      <c r="C7" s="23">
        <f>100*B7/B7</f>
        <v>100</v>
      </c>
      <c r="D7" s="35">
        <f>'8) misura 1'!D20</f>
        <v>6.6</v>
      </c>
      <c r="E7" s="23">
        <f>100*D7/B7</f>
        <v>15.000000000000002</v>
      </c>
      <c r="F7" s="35">
        <f>'8) misura 1'!F20</f>
        <v>9.24</v>
      </c>
      <c r="G7" s="23">
        <f>100*F7/B7</f>
        <v>21.000000000000004</v>
      </c>
      <c r="H7" s="35">
        <f>'8) misura 1'!H20</f>
        <v>3.959999999999999</v>
      </c>
      <c r="I7" s="23">
        <f>100*H7/B7</f>
        <v>8.999999999999998</v>
      </c>
      <c r="J7" s="35">
        <f>'8) misura 1'!J20</f>
        <v>24.200000000000003</v>
      </c>
      <c r="K7" s="25">
        <f>100*J7/B7</f>
        <v>55.00000000000002</v>
      </c>
    </row>
    <row r="8" spans="1:11" ht="12.75">
      <c r="A8" s="15" t="s">
        <v>51</v>
      </c>
      <c r="B8" s="9"/>
      <c r="C8" s="9"/>
      <c r="D8" s="9"/>
      <c r="E8" s="9"/>
      <c r="F8" s="9"/>
      <c r="G8" s="9"/>
      <c r="H8" s="9"/>
      <c r="I8" s="9"/>
      <c r="J8" s="9"/>
      <c r="K8" s="16"/>
    </row>
    <row r="9" spans="1:11" ht="12.75">
      <c r="A9" s="14"/>
      <c r="B9" s="35">
        <f>'9) misura 2'!B20</f>
        <v>3.5000000000000004</v>
      </c>
      <c r="C9" s="23">
        <f>100*B9/B9</f>
        <v>100</v>
      </c>
      <c r="D9" s="35">
        <f>'9) misura 2'!D20</f>
        <v>1.7500000000000002</v>
      </c>
      <c r="E9" s="23">
        <f>100*D9/B9</f>
        <v>50</v>
      </c>
      <c r="F9" s="35">
        <f>'9) misura 2'!F20</f>
        <v>1.2249999999999999</v>
      </c>
      <c r="G9" s="23">
        <f>100*F9/B9</f>
        <v>34.99999999999999</v>
      </c>
      <c r="H9" s="35">
        <f>'9) misura 2'!H20</f>
        <v>0.5250000000000001</v>
      </c>
      <c r="I9" s="23">
        <f>100*H9/B9</f>
        <v>15.000000000000002</v>
      </c>
      <c r="J9" s="35">
        <f>'9) misura 2'!J20</f>
        <v>0</v>
      </c>
      <c r="K9" s="25">
        <f>100*J9/B9</f>
        <v>0</v>
      </c>
    </row>
    <row r="10" spans="1:11" ht="12.75">
      <c r="A10" s="15" t="s">
        <v>52</v>
      </c>
      <c r="B10" s="9"/>
      <c r="C10" s="9"/>
      <c r="D10" s="9"/>
      <c r="E10" s="9"/>
      <c r="F10" s="9"/>
      <c r="G10" s="9"/>
      <c r="H10" s="9"/>
      <c r="I10" s="9"/>
      <c r="J10" s="9"/>
      <c r="K10" s="16"/>
    </row>
    <row r="11" spans="1:11" ht="12.75">
      <c r="A11" s="14"/>
      <c r="B11" s="35">
        <f>'10) misura 3'!B20</f>
        <v>0.75</v>
      </c>
      <c r="C11" s="23">
        <f>100*B11/B11</f>
        <v>100</v>
      </c>
      <c r="D11" s="35">
        <f>'10) misura 3'!D20</f>
        <v>0.375</v>
      </c>
      <c r="E11" s="23">
        <f>100*D11/B11</f>
        <v>50</v>
      </c>
      <c r="F11" s="35">
        <f>'10) misura 3'!F20</f>
        <v>0.375</v>
      </c>
      <c r="G11" s="23">
        <f>100*F11/B11</f>
        <v>50</v>
      </c>
      <c r="H11" s="35">
        <f>'10) misura 3'!H20</f>
        <v>0</v>
      </c>
      <c r="I11" s="23">
        <f>100*H11/B11</f>
        <v>0</v>
      </c>
      <c r="J11" s="35">
        <f>'10) misura 3'!J20</f>
        <v>0</v>
      </c>
      <c r="K11" s="25">
        <f>100*J11/B11</f>
        <v>0</v>
      </c>
    </row>
    <row r="12" spans="1:11" ht="12.75">
      <c r="A12" s="15" t="s">
        <v>53</v>
      </c>
      <c r="B12" s="9"/>
      <c r="C12" s="9"/>
      <c r="D12" s="9"/>
      <c r="E12" s="9"/>
      <c r="F12" s="9"/>
      <c r="G12" s="9"/>
      <c r="H12" s="9"/>
      <c r="I12" s="9"/>
      <c r="J12" s="9"/>
      <c r="K12" s="16"/>
    </row>
    <row r="13" spans="1:11" ht="12.75">
      <c r="A13" s="14"/>
      <c r="B13" s="35">
        <f>'11) misura 4'!B20</f>
        <v>0.318</v>
      </c>
      <c r="C13" s="23">
        <f>100*B13/B13</f>
        <v>100</v>
      </c>
      <c r="D13" s="35">
        <f>'11) misura 4'!D20</f>
        <v>0.10017</v>
      </c>
      <c r="E13" s="23">
        <f>100*D13/B13</f>
        <v>31.499999999999996</v>
      </c>
      <c r="F13" s="35">
        <f>'11) misura 4'!F20</f>
        <v>0.11909100000000002</v>
      </c>
      <c r="G13" s="23">
        <f>100*F13/B13</f>
        <v>37.45000000000001</v>
      </c>
      <c r="H13" s="35">
        <f>'11) misura 4'!H20</f>
        <v>0.05103900000000001</v>
      </c>
      <c r="I13" s="23">
        <f>100*H13/B13</f>
        <v>16.050000000000004</v>
      </c>
      <c r="J13" s="35">
        <f>'11) misura 4'!J20</f>
        <v>0.04770000000000003</v>
      </c>
      <c r="K13" s="25">
        <f>100*J13/B13</f>
        <v>15.000000000000009</v>
      </c>
    </row>
    <row r="14" spans="1:11" ht="12.75">
      <c r="A14" s="15" t="s">
        <v>54</v>
      </c>
      <c r="B14" s="9"/>
      <c r="C14" s="9"/>
      <c r="D14" s="9"/>
      <c r="E14" s="9"/>
      <c r="F14" s="9"/>
      <c r="G14" s="9"/>
      <c r="H14" s="9"/>
      <c r="I14" s="9"/>
      <c r="J14" s="9"/>
      <c r="K14" s="16"/>
    </row>
    <row r="15" spans="1:11" ht="12.75">
      <c r="A15" s="14"/>
      <c r="B15" s="35">
        <f>' 12) misura 5 - I'!B20</f>
        <v>11.4</v>
      </c>
      <c r="C15" s="23">
        <f>100*B15/B15</f>
        <v>100</v>
      </c>
      <c r="D15" s="35">
        <f>' 12) misura 5 - I'!D20</f>
        <v>2.25</v>
      </c>
      <c r="E15" s="23">
        <f>100*D15/B15</f>
        <v>19.736842105263158</v>
      </c>
      <c r="F15" s="35">
        <f>' 12) misura 5 - I'!F20</f>
        <v>3.3389999999999995</v>
      </c>
      <c r="G15" s="23">
        <f>100*F15/B15</f>
        <v>29.289473684210524</v>
      </c>
      <c r="H15" s="35">
        <f>' 12) misura 5 - I'!H20</f>
        <v>1.431</v>
      </c>
      <c r="I15" s="23">
        <f>100*H15/B15</f>
        <v>12.552631578947368</v>
      </c>
      <c r="J15" s="35">
        <f>' 12) misura 5 - I'!J20</f>
        <v>4.38</v>
      </c>
      <c r="K15" s="25">
        <f>100*J15/B15</f>
        <v>38.421052631578945</v>
      </c>
    </row>
    <row r="16" spans="1:11" s="1" customFormat="1" ht="25.5">
      <c r="A16" s="68" t="s">
        <v>70</v>
      </c>
      <c r="B16" s="43">
        <f>SUM(B7+B9+B11+B13+B15)</f>
        <v>59.96799999999999</v>
      </c>
      <c r="C16" s="61">
        <f>100*B16/B16</f>
        <v>100</v>
      </c>
      <c r="D16" s="43">
        <f>SUM(D7+D9+D11+D13+D15)</f>
        <v>11.07517</v>
      </c>
      <c r="E16" s="61">
        <f>100*D16/B16</f>
        <v>18.468466515474923</v>
      </c>
      <c r="F16" s="43">
        <f>SUM(F7+F9+F11+F13+F15)</f>
        <v>14.298091</v>
      </c>
      <c r="G16" s="61">
        <f>100*F16/B16</f>
        <v>23.842867862860196</v>
      </c>
      <c r="H16" s="43">
        <f>SUM(H7+H9+H11+H13+H15)</f>
        <v>5.967039</v>
      </c>
      <c r="I16" s="61">
        <f>100*H16/B16</f>
        <v>9.950371864994665</v>
      </c>
      <c r="J16" s="43">
        <f>SUM(J7+J9+J11+J13+J15)</f>
        <v>28.6277</v>
      </c>
      <c r="K16" s="62">
        <f>100*J16/B16</f>
        <v>47.73829375667023</v>
      </c>
    </row>
    <row r="17" spans="1:11" s="1" customFormat="1" ht="12.75">
      <c r="A17" s="17"/>
      <c r="B17" s="43"/>
      <c r="C17" s="59"/>
      <c r="D17" s="43"/>
      <c r="E17" s="59"/>
      <c r="F17" s="43"/>
      <c r="G17" s="59"/>
      <c r="H17" s="43"/>
      <c r="I17" s="59"/>
      <c r="J17" s="43"/>
      <c r="K17" s="60"/>
    </row>
    <row r="18" spans="1:11" s="1" customFormat="1" ht="25.5">
      <c r="A18" s="22" t="s">
        <v>68</v>
      </c>
      <c r="B18" s="43"/>
      <c r="C18" s="59"/>
      <c r="D18" s="43"/>
      <c r="E18" s="59"/>
      <c r="F18" s="43"/>
      <c r="G18" s="59"/>
      <c r="H18" s="43"/>
      <c r="I18" s="59"/>
      <c r="J18" s="43"/>
      <c r="K18" s="60"/>
    </row>
    <row r="19" spans="1:11" ht="12.75">
      <c r="A19" s="15" t="s">
        <v>55</v>
      </c>
      <c r="B19" s="9"/>
      <c r="C19" s="9"/>
      <c r="D19" s="9"/>
      <c r="E19" s="9"/>
      <c r="F19" s="9"/>
      <c r="G19" s="9"/>
      <c r="H19" s="9"/>
      <c r="I19" s="9"/>
      <c r="J19" s="9"/>
      <c r="K19" s="16"/>
    </row>
    <row r="20" spans="1:11" ht="12.75">
      <c r="A20" s="14"/>
      <c r="B20" s="35">
        <f>'13) misura 6'!B20</f>
        <v>60.000333333333344</v>
      </c>
      <c r="C20" s="23">
        <f>100*B20/B20</f>
        <v>100</v>
      </c>
      <c r="D20" s="35">
        <f>'13) misura 6'!D20</f>
        <v>9.000050000000002</v>
      </c>
      <c r="E20" s="23">
        <f>100*D20/B20</f>
        <v>14.999999999999998</v>
      </c>
      <c r="F20" s="35">
        <f>'13) misura 6'!F20</f>
        <v>10.500058333333333</v>
      </c>
      <c r="G20" s="23">
        <f>100*F20/B20</f>
        <v>17.499999999999996</v>
      </c>
      <c r="H20" s="35">
        <f>'13) misura 6'!H20</f>
        <v>4.500025000000001</v>
      </c>
      <c r="I20" s="23">
        <f>100*H20/B20</f>
        <v>7.499999999999999</v>
      </c>
      <c r="J20" s="35">
        <f>'13) misura 6'!J20</f>
        <v>36.00020000000001</v>
      </c>
      <c r="K20" s="25">
        <f>100*J20/B20</f>
        <v>59.99999999999999</v>
      </c>
    </row>
    <row r="21" spans="1:11" ht="12.75">
      <c r="A21" s="15" t="s">
        <v>56</v>
      </c>
      <c r="B21" s="9"/>
      <c r="C21" s="9"/>
      <c r="D21" s="9"/>
      <c r="E21" s="9"/>
      <c r="F21" s="9"/>
      <c r="G21" s="9"/>
      <c r="H21" s="9"/>
      <c r="I21" s="9"/>
      <c r="J21" s="9"/>
      <c r="K21" s="16"/>
    </row>
    <row r="22" spans="1:11" ht="12.75">
      <c r="A22" s="14"/>
      <c r="B22" s="35">
        <f>'14) misura 5 - II'!B20</f>
        <v>5.4</v>
      </c>
      <c r="C22" s="23">
        <f>100*B22/B22</f>
        <v>100</v>
      </c>
      <c r="D22" s="35">
        <f>'14) misura 5 - II'!D20</f>
        <v>0.9199999999999999</v>
      </c>
      <c r="E22" s="23">
        <f>100*D22/B22</f>
        <v>17.037037037037035</v>
      </c>
      <c r="F22" s="35">
        <f>'14) misura 5 - II'!F20</f>
        <v>1.1759999999999997</v>
      </c>
      <c r="G22" s="23">
        <f>100*F22/B22</f>
        <v>21.77777777777777</v>
      </c>
      <c r="H22" s="35">
        <f>'14) misura 5 - II'!H20</f>
        <v>0.504</v>
      </c>
      <c r="I22" s="23">
        <f>100*H22/B22</f>
        <v>9.333333333333332</v>
      </c>
      <c r="J22" s="35">
        <f>'14) misura 5 - II'!J20</f>
        <v>2.8000000000000003</v>
      </c>
      <c r="K22" s="25">
        <f>100*J22/B22</f>
        <v>51.85185185185185</v>
      </c>
    </row>
    <row r="23" spans="1:11" s="1" customFormat="1" ht="25.5">
      <c r="A23" s="68" t="s">
        <v>70</v>
      </c>
      <c r="B23" s="43">
        <f>SUM(B20+B22)</f>
        <v>65.40033333333335</v>
      </c>
      <c r="C23" s="61">
        <f>100*B23/B23</f>
        <v>100</v>
      </c>
      <c r="D23" s="43">
        <f>SUM(D20+D22)</f>
        <v>9.920050000000002</v>
      </c>
      <c r="E23" s="61">
        <f>100*D23/B23</f>
        <v>15.168194861392141</v>
      </c>
      <c r="F23" s="43">
        <f>SUM(F20+F22)</f>
        <v>11.676058333333334</v>
      </c>
      <c r="G23" s="61">
        <f>100*F23/B23</f>
        <v>17.853209208923495</v>
      </c>
      <c r="H23" s="43">
        <f>SUM(H20+H22)</f>
        <v>5.004025</v>
      </c>
      <c r="I23" s="61">
        <f>100*H23/B23</f>
        <v>7.651375375252928</v>
      </c>
      <c r="J23" s="43">
        <f>SUM(J20+J22)</f>
        <v>38.800200000000004</v>
      </c>
      <c r="K23" s="62">
        <f>100*J23/B23</f>
        <v>59.32722055443141</v>
      </c>
    </row>
    <row r="24" spans="1:11" s="1" customFormat="1" ht="12.75">
      <c r="A24" s="17"/>
      <c r="B24" s="43"/>
      <c r="C24" s="59"/>
      <c r="D24" s="43"/>
      <c r="E24" s="59"/>
      <c r="F24" s="43"/>
      <c r="G24" s="59"/>
      <c r="H24" s="43"/>
      <c r="I24" s="59"/>
      <c r="J24" s="43"/>
      <c r="K24" s="60"/>
    </row>
    <row r="25" spans="1:11" s="1" customFormat="1" ht="25.5">
      <c r="A25" s="22" t="s">
        <v>69</v>
      </c>
      <c r="B25" s="43"/>
      <c r="C25" s="59"/>
      <c r="D25" s="43"/>
      <c r="E25" s="59"/>
      <c r="F25" s="43"/>
      <c r="G25" s="59"/>
      <c r="H25" s="43"/>
      <c r="I25" s="59"/>
      <c r="J25" s="43"/>
      <c r="K25" s="60"/>
    </row>
    <row r="26" spans="1:11" ht="12.75">
      <c r="A26" s="12" t="s">
        <v>57</v>
      </c>
      <c r="B26" s="8"/>
      <c r="C26" s="8"/>
      <c r="D26" s="8"/>
      <c r="E26" s="8"/>
      <c r="F26" s="8"/>
      <c r="G26" s="8"/>
      <c r="H26" s="8"/>
      <c r="I26" s="8"/>
      <c r="J26" s="8"/>
      <c r="K26" s="13"/>
    </row>
    <row r="27" spans="1:11" ht="12.75">
      <c r="A27" s="14"/>
      <c r="B27" s="35">
        <f>'15) misura 7'!B20</f>
        <v>0.8444</v>
      </c>
      <c r="C27" s="23">
        <f>100*B27/B27</f>
        <v>99.99999999999999</v>
      </c>
      <c r="D27" s="35">
        <f>'15) misura 7'!D20</f>
        <v>0.24994239999999998</v>
      </c>
      <c r="E27" s="23">
        <f>100*D27/B27</f>
        <v>29.599999999999994</v>
      </c>
      <c r="F27" s="35">
        <f>'15) misura 7'!F20</f>
        <v>0.29790432</v>
      </c>
      <c r="G27" s="23">
        <f>100*F27/B27</f>
        <v>35.279999999999994</v>
      </c>
      <c r="H27" s="35">
        <f>'15) misura 7'!H20</f>
        <v>0.12767328</v>
      </c>
      <c r="I27" s="23">
        <f>100*H27/B27</f>
        <v>15.119999999999997</v>
      </c>
      <c r="J27" s="35">
        <f>'15) misura 7'!J20</f>
        <v>0.16888</v>
      </c>
      <c r="K27" s="25">
        <f>100*J27/B27</f>
        <v>20</v>
      </c>
    </row>
    <row r="28" spans="1:11" ht="12.75">
      <c r="A28" s="15" t="s">
        <v>58</v>
      </c>
      <c r="B28" s="9"/>
      <c r="C28" s="9"/>
      <c r="D28" s="9"/>
      <c r="E28" s="9"/>
      <c r="F28" s="9"/>
      <c r="G28" s="9"/>
      <c r="H28" s="9"/>
      <c r="I28" s="9"/>
      <c r="J28" s="9"/>
      <c r="K28" s="16"/>
    </row>
    <row r="29" spans="1:11" ht="12.75">
      <c r="A29" s="14"/>
      <c r="B29" s="35">
        <f>'16) misura 8'!B20</f>
        <v>0.75</v>
      </c>
      <c r="C29" s="23">
        <f>100*B29/B29</f>
        <v>100</v>
      </c>
      <c r="D29" s="35">
        <f>'16) misura 8'!D20</f>
        <v>0.375</v>
      </c>
      <c r="E29" s="23">
        <f>100*D29/B29</f>
        <v>50</v>
      </c>
      <c r="F29" s="35">
        <f>'16) misura 8'!F20</f>
        <v>0.2625</v>
      </c>
      <c r="G29" s="23">
        <f>100*F29/B29</f>
        <v>35</v>
      </c>
      <c r="H29" s="35">
        <f>'16) misura 8'!H20</f>
        <v>0.1125</v>
      </c>
      <c r="I29" s="23">
        <f>100*H29/B29</f>
        <v>15</v>
      </c>
      <c r="J29" s="35">
        <f>'16) misura 8'!J20</f>
        <v>0</v>
      </c>
      <c r="K29" s="25">
        <f>100*J29/B29</f>
        <v>0</v>
      </c>
    </row>
    <row r="30" spans="1:11" s="1" customFormat="1" ht="25.5">
      <c r="A30" s="68" t="s">
        <v>70</v>
      </c>
      <c r="B30" s="43">
        <f>SUM(B27+B29)</f>
        <v>1.5944</v>
      </c>
      <c r="C30" s="61">
        <f>100*B30/B30</f>
        <v>100</v>
      </c>
      <c r="D30" s="43">
        <f>SUM(D27+D29)</f>
        <v>0.6249424</v>
      </c>
      <c r="E30" s="61">
        <f>100*D30/B30</f>
        <v>39.196086302057196</v>
      </c>
      <c r="F30" s="43">
        <f>SUM(F27+F29)</f>
        <v>0.56040432</v>
      </c>
      <c r="G30" s="61">
        <f>100*F30/B30</f>
        <v>35.148289011540385</v>
      </c>
      <c r="H30" s="43">
        <f>SUM(H27+H29)</f>
        <v>0.24017328</v>
      </c>
      <c r="I30" s="61">
        <f>100*H30/B30</f>
        <v>15.06355243351731</v>
      </c>
      <c r="J30" s="43">
        <f>SUM(J27+J29)</f>
        <v>0.16888</v>
      </c>
      <c r="K30" s="62">
        <f>100*J30/B30</f>
        <v>10.5920722528851</v>
      </c>
    </row>
    <row r="31" spans="1:11" s="1" customFormat="1" ht="12.75">
      <c r="A31" s="17"/>
      <c r="B31" s="43"/>
      <c r="C31" s="59"/>
      <c r="D31" s="43"/>
      <c r="E31" s="59"/>
      <c r="F31" s="43"/>
      <c r="G31" s="59"/>
      <c r="H31" s="43"/>
      <c r="I31" s="59"/>
      <c r="J31" s="43"/>
      <c r="K31" s="60"/>
    </row>
    <row r="32" spans="1:11" s="1" customFormat="1" ht="12.75">
      <c r="A32" s="17" t="s">
        <v>71</v>
      </c>
      <c r="B32" s="7"/>
      <c r="C32" s="7"/>
      <c r="D32" s="7"/>
      <c r="E32" s="7"/>
      <c r="F32" s="7"/>
      <c r="G32" s="7"/>
      <c r="H32" s="7"/>
      <c r="I32" s="7"/>
      <c r="J32" s="7"/>
      <c r="K32" s="18"/>
    </row>
    <row r="33" spans="1:11" s="1" customFormat="1" ht="13.5" thickBot="1">
      <c r="A33" s="19"/>
      <c r="B33" s="48">
        <f>SUM(B16+B23+B30)</f>
        <v>126.96273333333333</v>
      </c>
      <c r="C33" s="24">
        <f>100*B33/B33</f>
        <v>100</v>
      </c>
      <c r="D33" s="48">
        <f>SUM(D16+D23+D30)+0.001</f>
        <v>21.621162400000003</v>
      </c>
      <c r="E33" s="24">
        <f>100*D33/B33</f>
        <v>17.029534440814917</v>
      </c>
      <c r="F33" s="48">
        <f>SUM(F16+F23+F30)-0.001</f>
        <v>26.533553653333332</v>
      </c>
      <c r="G33" s="24">
        <f>100*F33/B33</f>
        <v>20.89869440954065</v>
      </c>
      <c r="H33" s="48">
        <f>SUM(H16+H23+H30)+0.001</f>
        <v>11.21223728</v>
      </c>
      <c r="I33" s="24">
        <f>100*H33/B33</f>
        <v>8.831124681730754</v>
      </c>
      <c r="J33" s="48">
        <f>SUM(J16+J23+J30)</f>
        <v>67.59678000000001</v>
      </c>
      <c r="K33" s="26">
        <f>100*J33/B33</f>
        <v>53.24143410061011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scale="80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&amp;L&amp;8&amp;A&amp;C180
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51">
      <c r="A2" s="20" t="s">
        <v>74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6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'17) misura 9'!B6+'18) misura 10'!B6+'19) misura 11'!B6+'20) misura 12'!B6</f>
        <v>0</v>
      </c>
      <c r="C6" s="5" t="e">
        <f>100*B6/B6</f>
        <v>#DIV/0!</v>
      </c>
      <c r="D6" s="35">
        <f>'17) misura 9'!D6+'18) misura 10'!D6+'19) misura 11'!D6+'20) misura 12'!D6</f>
        <v>0</v>
      </c>
      <c r="E6" s="5" t="e">
        <f>100*D6/B6</f>
        <v>#DIV/0!</v>
      </c>
      <c r="F6" s="35">
        <f>'17) misura 9'!F6+'18) misura 10'!F6+'19) misura 11'!F6+'20) misura 12'!F6</f>
        <v>0</v>
      </c>
      <c r="G6" s="5" t="e">
        <f>100*F6/B6</f>
        <v>#DIV/0!</v>
      </c>
      <c r="H6" s="35">
        <f>'17) misura 9'!H6+'18) misura 10'!H6+'19) misura 11'!H6+'20) misura 12'!H6</f>
        <v>0</v>
      </c>
      <c r="I6" s="5" t="e">
        <f>100*H6/B6</f>
        <v>#DIV/0!</v>
      </c>
      <c r="J6" s="35">
        <f>'17) misura 9'!J6+'18) misura 10'!J6+'19) misura 11'!J6+'20) misura 12'!J6</f>
        <v>0</v>
      </c>
      <c r="K6" s="10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'17) misura 9'!B8+'18) misura 10'!B8+'19) misura 11'!B8+'20) misura 12'!B8</f>
        <v>5.196811011843354</v>
      </c>
      <c r="C8" s="23">
        <f>100*B8/B8</f>
        <v>99.99999999999999</v>
      </c>
      <c r="D8" s="35">
        <f>'17) misura 9'!D8+'18) misura 10'!D8+'19) misura 11'!D8+'20) misura 12'!D8</f>
        <v>1.2695513840630546</v>
      </c>
      <c r="E8" s="23">
        <f>100*D8/B8</f>
        <v>24.429431456518053</v>
      </c>
      <c r="F8" s="35">
        <f>'17) misura 9'!F8+'18) misura 10'!F8+'19) misura 11'!F8+'20) misura 12'!F8</f>
        <v>1.5115464373787808</v>
      </c>
      <c r="G8" s="23">
        <f>100*F8/B8</f>
        <v>29.08603822486556</v>
      </c>
      <c r="H8" s="35">
        <f>'17) misura 9'!H8+'18) misura 10'!H8+'19) misura 11'!H8+'20) misura 12'!H8</f>
        <v>0.6478056160194776</v>
      </c>
      <c r="I8" s="23">
        <f>100*H8/B8</f>
        <v>12.465444953513815</v>
      </c>
      <c r="J8" s="35">
        <f>'17) misura 9'!J8+'18) misura 10'!J8+'19) misura 11'!J8+'20) misura 12'!J8</f>
        <v>1.7679075743820412</v>
      </c>
      <c r="K8" s="25">
        <f>100*J8/B8</f>
        <v>34.01908536510257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'17) misura 9'!B10+'18) misura 10'!B10+'19) misura 11'!B10+'20) misura 12'!B10</f>
        <v>5.935549735072009</v>
      </c>
      <c r="C10" s="23">
        <f>100*B10/B10</f>
        <v>100</v>
      </c>
      <c r="D10" s="35">
        <f>'17) misura 9'!D10+'18) misura 10'!D10+'19) misura 11'!D10+'20) misura 12'!D10</f>
        <v>1.5331129401922996</v>
      </c>
      <c r="E10" s="23">
        <f>100*D10/B10</f>
        <v>25.829333568438212</v>
      </c>
      <c r="F10" s="35">
        <f>'17) misura 9'!F10+'18) misura 10'!F10+'19) misura 11'!F10+'20) misura 12'!F10</f>
        <v>1.8260627650321462</v>
      </c>
      <c r="G10" s="23">
        <f>100*F10/B10</f>
        <v>30.7648465017873</v>
      </c>
      <c r="H10" s="35">
        <f>'17) misura 9'!H10+'18) misura 10'!H10+'19) misura 11'!H10+'20) misura 12'!H10</f>
        <v>0.7825983278709197</v>
      </c>
      <c r="I10" s="23">
        <f>100*H10/B10</f>
        <v>13.184934215051697</v>
      </c>
      <c r="J10" s="35">
        <f>'17) misura 9'!J10+'18) misura 10'!J10+'19) misura 11'!J10+'20) misura 12'!J10</f>
        <v>1.7937757019766434</v>
      </c>
      <c r="K10" s="25">
        <f>100*J10/B10</f>
        <v>30.220885714722797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'17) misura 9'!B12+'18) misura 10'!B12+'19) misura 11'!B12+'20) misura 12'!B12</f>
        <v>7.060845016609582</v>
      </c>
      <c r="C12" s="23">
        <f>100*B12/B12</f>
        <v>100</v>
      </c>
      <c r="D12" s="35">
        <f>'17) misura 9'!D12+'18) misura 10'!D12+'19) misura 11'!D12+'20) misura 12'!D12</f>
        <v>1.8007627586250154</v>
      </c>
      <c r="E12" s="23">
        <f>100*D12/B12</f>
        <v>25.503502121757247</v>
      </c>
      <c r="F12" s="35">
        <f>'17) misura 9'!F12+'18) misura 10'!F12+'19) misura 11'!F12+'20) misura 12'!F12</f>
        <v>2.1436152337873144</v>
      </c>
      <c r="G12" s="23">
        <f>100*F12/B12</f>
        <v>30.359188294669835</v>
      </c>
      <c r="H12" s="35">
        <f>'17) misura 9'!H12+'18) misura 10'!H12+'19) misura 11'!H12+'20) misura 12'!H12</f>
        <v>0.9186922430517063</v>
      </c>
      <c r="I12" s="23">
        <f>100*H12/B12</f>
        <v>13.011080697715645</v>
      </c>
      <c r="J12" s="35">
        <f>'17) misura 9'!J12+'18) misura 10'!J12+'19) misura 11'!J12+'20) misura 12'!J12</f>
        <v>2.1977747811455455</v>
      </c>
      <c r="K12" s="25">
        <f>100*J12/B12</f>
        <v>31.126228885857277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'17) misura 9'!B14+'18) misura 10'!B14+'19) misura 11'!B14+'20) misura 12'!B14</f>
        <v>7.062714628811951</v>
      </c>
      <c r="C14" s="23">
        <f>100*B14/B14</f>
        <v>100</v>
      </c>
      <c r="D14" s="35">
        <f>'17) misura 9'!D14+'18) misura 10'!D14+'19) misura 11'!D14+'20) misura 12'!D14</f>
        <v>1.8012624229018281</v>
      </c>
      <c r="E14" s="23">
        <f>100*D14/B14</f>
        <v>25.50382561902867</v>
      </c>
      <c r="F14" s="35">
        <f>'17) misura 9'!F14+'18) misura 10'!F14+'19) misura 11'!F14+'20) misura 12'!F14</f>
        <v>2.1442104552747905</v>
      </c>
      <c r="G14" s="23">
        <f>100*F14/B14</f>
        <v>30.359579396392476</v>
      </c>
      <c r="H14" s="35">
        <f>'17) misura 9'!H14+'18) misura 10'!H14+'19) misura 11'!H14+'20) misura 12'!H14</f>
        <v>0.9179473379749101</v>
      </c>
      <c r="I14" s="23">
        <f>100*H14/B14</f>
        <v>12.997089450990913</v>
      </c>
      <c r="J14" s="35">
        <f>'17) misura 9'!J14+'18) misura 10'!J14+'19) misura 11'!J14+'20) misura 12'!J14</f>
        <v>2.199294412660422</v>
      </c>
      <c r="K14" s="25">
        <f>100*J14/B14</f>
        <v>31.139505533587936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'17) misura 9'!B16+'18) misura 10'!B16+'19) misura 11'!B16+'20) misura 12'!B16</f>
        <v>7.24890052820534</v>
      </c>
      <c r="C16" s="23">
        <f>100*B16/B16</f>
        <v>100.00000000000001</v>
      </c>
      <c r="D16" s="35">
        <f>'17) misura 9'!D16+'18) misura 10'!D16+'19) misura 11'!D16+'20) misura 12'!D16</f>
        <v>1.8066093432303059</v>
      </c>
      <c r="E16" s="23">
        <f>100*D16/B16</f>
        <v>24.922529095285853</v>
      </c>
      <c r="F16" s="35">
        <f>'17) misura 9'!F16+'18) misura 10'!F16+'19) misura 11'!F16+'20) misura 12'!F16</f>
        <v>2.149283092677341</v>
      </c>
      <c r="G16" s="23">
        <f>100*F16/B16</f>
        <v>29.649780464147906</v>
      </c>
      <c r="H16" s="35">
        <f>'17) misura 9'!H16+'18) misura 10'!H16+'19) misura 11'!H16+'20) misura 12'!H16</f>
        <v>0.9215498968617175</v>
      </c>
      <c r="I16" s="23">
        <f>100*H16/B16</f>
        <v>12.712960996995111</v>
      </c>
      <c r="J16" s="35">
        <f>'17) misura 9'!J16+'18) misura 10'!J16+'19) misura 11'!J16+'20) misura 12'!J16</f>
        <v>2.371458195435976</v>
      </c>
      <c r="K16" s="25">
        <f>100*J16/B16</f>
        <v>32.71472944357114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'17) misura 9'!B18+'18) misura 10'!B18+'19) misura 11'!B18+'20) misura 12'!B18</f>
        <v>8.239973023356583</v>
      </c>
      <c r="C18" s="23">
        <f>100*B18/B18</f>
        <v>100</v>
      </c>
      <c r="D18" s="35">
        <f>'17) misura 9'!D18+'18) misura 10'!D18+'19) misura 11'!D18+'20) misura 12'!D18</f>
        <v>2.046486928849091</v>
      </c>
      <c r="E18" s="23">
        <f>100*D18/B18</f>
        <v>24.83608772805723</v>
      </c>
      <c r="F18" s="35">
        <f>'17) misura 9'!F18+'18) misura 10'!F18+'19) misura 11'!F18+'20) misura 12'!F18</f>
        <v>2.4326705781058893</v>
      </c>
      <c r="G18" s="23">
        <f>100*F18/B18</f>
        <v>29.52279784424503</v>
      </c>
      <c r="H18" s="35">
        <f>'17) misura 9'!H18+'18) misura 10'!H18+'19) misura 11'!H18+'20) misura 12'!H18</f>
        <v>1.0434302477596669</v>
      </c>
      <c r="I18" s="23">
        <f>100*H18/B18</f>
        <v>12.663029900729233</v>
      </c>
      <c r="J18" s="35">
        <f>'17) misura 9'!J18+'18) misura 10'!J18+'19) misura 11'!J18+'20) misura 12'!J18</f>
        <v>2.7173852686419355</v>
      </c>
      <c r="K18" s="25">
        <f>100*J18/B18</f>
        <v>32.978084526968495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40.74479394389881</v>
      </c>
      <c r="C20" s="24">
        <f>100*B20/B20</f>
        <v>100</v>
      </c>
      <c r="D20" s="48">
        <f>SUM(D18+D16+D14+D12+D10+D8+D6)</f>
        <v>10.257785777861596</v>
      </c>
      <c r="E20" s="24">
        <f>100*D20/B20</f>
        <v>25.17569678223299</v>
      </c>
      <c r="F20" s="48">
        <f>SUM(F18+F16+F14+F12+F10+F8+F6)</f>
        <v>12.207388562256263</v>
      </c>
      <c r="G20" s="24">
        <f>100*F20/B20</f>
        <v>29.96060939482114</v>
      </c>
      <c r="H20" s="48">
        <f>SUM(H18+H16+H14+H12+H10+H8+H6)</f>
        <v>5.232023669538398</v>
      </c>
      <c r="I20" s="24">
        <f>100*H20/B20</f>
        <v>12.840962398146695</v>
      </c>
      <c r="J20" s="48">
        <f>SUM(J18+J16+J14+J12+J10+J8+J6)</f>
        <v>13.047595934242564</v>
      </c>
      <c r="K20" s="26">
        <f>100*J20/B20</f>
        <v>32.02273142479919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&amp;L&amp;8&amp;A&amp;C197&amp;R&amp;8&amp;F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38.25" customHeight="1">
      <c r="A2" s="20" t="s">
        <v>75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7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5" t="s">
        <v>66</v>
      </c>
      <c r="B5" s="9"/>
      <c r="C5" s="9"/>
      <c r="D5" s="9"/>
      <c r="E5" s="9"/>
      <c r="F5" s="9"/>
      <c r="G5" s="9"/>
      <c r="H5" s="9"/>
      <c r="I5" s="9"/>
      <c r="J5" s="9"/>
      <c r="K5" s="16"/>
    </row>
    <row r="6" spans="1:11" ht="12.75">
      <c r="A6" s="14"/>
      <c r="B6" s="35">
        <f>'17) misura 9'!B20</f>
        <v>1.62</v>
      </c>
      <c r="C6" s="23">
        <f>100*B6/B6</f>
        <v>100</v>
      </c>
      <c r="D6" s="35">
        <f>'17) misura 9'!D20</f>
        <v>0.2997</v>
      </c>
      <c r="E6" s="23">
        <f>100*D6/B6</f>
        <v>18.5</v>
      </c>
      <c r="F6" s="35">
        <f>'17) misura 9'!F20</f>
        <v>0.35721</v>
      </c>
      <c r="G6" s="23">
        <f>100*F6/B6</f>
        <v>22.05</v>
      </c>
      <c r="H6" s="35">
        <f>'17) misura 9'!H20</f>
        <v>0.15309</v>
      </c>
      <c r="I6" s="23">
        <f>100*H6/B6</f>
        <v>9.45</v>
      </c>
      <c r="J6" s="35">
        <f>'17) misura 9'!J20</f>
        <v>0.8100000000000002</v>
      </c>
      <c r="K6" s="25">
        <f>100*J6/B6</f>
        <v>50.00000000000001</v>
      </c>
    </row>
    <row r="7" spans="1:11" ht="12.75">
      <c r="A7" s="15" t="s">
        <v>59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'18) misura 10'!B20</f>
        <v>1.01256</v>
      </c>
      <c r="C8" s="23">
        <f>100*B8/B8</f>
        <v>100</v>
      </c>
      <c r="D8" s="35">
        <f>'18) misura 10'!D20</f>
        <v>0.29971775999999994</v>
      </c>
      <c r="E8" s="23">
        <f>100*D8/B8</f>
        <v>29.599999999999998</v>
      </c>
      <c r="F8" s="35">
        <f>'18) misura 10'!F20</f>
        <v>0.357231168</v>
      </c>
      <c r="G8" s="23">
        <f>100*F8/B8</f>
        <v>35.28</v>
      </c>
      <c r="H8" s="35">
        <f>'18) misura 10'!H20</f>
        <v>0.15309907199999997</v>
      </c>
      <c r="I8" s="23">
        <f>100*H8/B8</f>
        <v>15.12</v>
      </c>
      <c r="J8" s="35">
        <f>'18) misura 10'!J20</f>
        <v>0.20251199999999997</v>
      </c>
      <c r="K8" s="25">
        <f>100*J8/B8</f>
        <v>20</v>
      </c>
    </row>
    <row r="9" spans="1:11" ht="12.75">
      <c r="A9" s="15" t="s">
        <v>60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'19) misura 11'!B20</f>
        <v>12.1496625</v>
      </c>
      <c r="C10" s="23">
        <f>100*B10/B10</f>
        <v>100</v>
      </c>
      <c r="D10" s="35">
        <f>'19) misura 11'!D20</f>
        <v>3.6003000999999997</v>
      </c>
      <c r="E10" s="23">
        <f>100*D10/B10</f>
        <v>29.63292272521973</v>
      </c>
      <c r="F10" s="35">
        <f>'19) misura 11'!F20</f>
        <v>4.284400929999999</v>
      </c>
      <c r="G10" s="23">
        <f>100*F10/B10</f>
        <v>35.26353863739013</v>
      </c>
      <c r="H10" s="35">
        <f>'19) misura 11'!H20</f>
        <v>1.8360289699999999</v>
      </c>
      <c r="I10" s="23">
        <f>100*H10/B10</f>
        <v>15.111769318695066</v>
      </c>
      <c r="J10" s="35">
        <f>'19) misura 11'!J20</f>
        <v>2.428932500000001</v>
      </c>
      <c r="K10" s="25">
        <f>100*J10/B10</f>
        <v>19.991769318695077</v>
      </c>
    </row>
    <row r="11" spans="1:11" ht="12.75">
      <c r="A11" s="15" t="s">
        <v>61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'20) misura 12'!B20</f>
        <v>25.962571443898817</v>
      </c>
      <c r="C12" s="23">
        <f>100*B12/B12</f>
        <v>100.00000000000001</v>
      </c>
      <c r="D12" s="35">
        <f>'20) misura 12'!D20</f>
        <v>6.058067917861594</v>
      </c>
      <c r="E12" s="23">
        <f>100*D12/B12</f>
        <v>23.33385169859681</v>
      </c>
      <c r="F12" s="35">
        <f>'20) misura 12'!F20</f>
        <v>7.208546464256261</v>
      </c>
      <c r="G12" s="23">
        <f>100*F12/B12</f>
        <v>27.765148301403187</v>
      </c>
      <c r="H12" s="35">
        <f>'20) misura 12'!H20</f>
        <v>3.0898056275383983</v>
      </c>
      <c r="I12" s="23">
        <f>100*H12/B12</f>
        <v>11.901</v>
      </c>
      <c r="J12" s="35">
        <f>'20) misura 12'!J20</f>
        <v>9.606151434242564</v>
      </c>
      <c r="K12" s="25">
        <f>100*J12/B12</f>
        <v>37.00000000000001</v>
      </c>
    </row>
    <row r="13" spans="1:11" s="1" customFormat="1" ht="12.75">
      <c r="A13" s="17" t="s">
        <v>43</v>
      </c>
      <c r="B13" s="7"/>
      <c r="C13" s="7"/>
      <c r="D13" s="7"/>
      <c r="E13" s="7"/>
      <c r="F13" s="7"/>
      <c r="G13" s="7"/>
      <c r="H13" s="7"/>
      <c r="I13" s="7"/>
      <c r="J13" s="7"/>
      <c r="K13" s="18"/>
    </row>
    <row r="14" spans="1:11" s="1" customFormat="1" ht="13.5" thickBot="1">
      <c r="A14" s="19"/>
      <c r="B14" s="48">
        <f>SUM(B6+B8+B10+B12)</f>
        <v>40.74479394389881</v>
      </c>
      <c r="C14" s="24">
        <f>100*B14/B14</f>
        <v>100</v>
      </c>
      <c r="D14" s="48">
        <f>SUM(D6+D8+D10+D12)</f>
        <v>10.257785777861594</v>
      </c>
      <c r="E14" s="24">
        <f>100*D14/B14</f>
        <v>25.175696782232983</v>
      </c>
      <c r="F14" s="48">
        <f>SUM(F6+F8+F10+F12)</f>
        <v>12.20738856225626</v>
      </c>
      <c r="G14" s="24">
        <f>100*F14/B14</f>
        <v>29.960609394821134</v>
      </c>
      <c r="H14" s="48">
        <f>SUM(H6+H8+H10+H12)</f>
        <v>5.232023669538398</v>
      </c>
      <c r="I14" s="24">
        <f>100*H14/B14</f>
        <v>12.840962398146695</v>
      </c>
      <c r="J14" s="48">
        <f>SUM(J6+J8+J10+J12)</f>
        <v>13.047595934242565</v>
      </c>
      <c r="K14" s="26">
        <f>100*J14/B14</f>
        <v>32.0227314247992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&amp;L&amp;8&amp;A&amp;C198&amp;R&amp;8&amp;F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8.57421875" style="6" bestFit="1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89.25">
      <c r="A2" s="20" t="s">
        <v>76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8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'21) misura 13'!B6+'22) misura 14'!B6+'23) misura 15A'!B6+'24) misura 15B'!B6</f>
        <v>0</v>
      </c>
      <c r="C6" s="23" t="e">
        <f>100*B6/B6</f>
        <v>#DIV/0!</v>
      </c>
      <c r="D6" s="35">
        <f>'21) misura 13'!D6+'22) misura 14'!D6+'23) misura 15A'!D6+'24) misura 15B'!D6</f>
        <v>0</v>
      </c>
      <c r="E6" s="23" t="e">
        <f>100*D6/B6</f>
        <v>#DIV/0!</v>
      </c>
      <c r="F6" s="35">
        <f>'21) misura 13'!F6+'22) misura 14'!F6+'23) misura 15A'!F6+'24) misura 15B'!F6</f>
        <v>0</v>
      </c>
      <c r="G6" s="23" t="e">
        <f>100*F6/B6</f>
        <v>#DIV/0!</v>
      </c>
      <c r="H6" s="35">
        <f>'21) misura 13'!H6+'22) misura 14'!H6+'23) misura 15A'!H6+'24) misura 15B'!H6</f>
        <v>0</v>
      </c>
      <c r="I6" s="23" t="e">
        <f>100*H6/B6</f>
        <v>#DIV/0!</v>
      </c>
      <c r="J6" s="35">
        <f>'21) misura 13'!J6+'22) misura 14'!J6+'23) misura 15A'!J6+'24) misura 15B'!J6</f>
        <v>0</v>
      </c>
      <c r="K6" s="25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'21) misura 13'!B8+'22) misura 14'!B8+'23) misura 15A'!B8+'24) misura 15B'!B8</f>
        <v>10.558</v>
      </c>
      <c r="C8" s="23">
        <f>100*B8/B8</f>
        <v>100</v>
      </c>
      <c r="D8" s="35">
        <f>'21) misura 13'!D8+'22) misura 14'!D8+'23) misura 15A'!D8+'24) misura 15B'!D8</f>
        <v>3.644688</v>
      </c>
      <c r="E8" s="23">
        <f>100*D8/B8</f>
        <v>34.52062890698996</v>
      </c>
      <c r="F8" s="35">
        <f>'21) misura 13'!F8+'22) misura 14'!F8+'23) misura 15A'!F8+'24) misura 15B'!F8</f>
        <v>3.8736284</v>
      </c>
      <c r="G8" s="23">
        <f>100*F8/B8</f>
        <v>36.689035802235274</v>
      </c>
      <c r="H8" s="35">
        <f>'21) misura 13'!H8+'22) misura 14'!H8+'23) misura 15A'!H8+'24) misura 15B'!H8</f>
        <v>0.6139836000000001</v>
      </c>
      <c r="I8" s="23">
        <f>100*H8/B8</f>
        <v>5.815340026520175</v>
      </c>
      <c r="J8" s="35">
        <f>'21) misura 13'!J8+'22) misura 14'!J8+'23) misura 15A'!J8+'24) misura 15B'!J8</f>
        <v>2.4256999999999995</v>
      </c>
      <c r="K8" s="25">
        <f>100*J8/B8</f>
        <v>22.97499526425459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'21) misura 13'!B10+'22) misura 14'!B10+'23) misura 15A'!B10+'24) misura 15B'!B10</f>
        <v>10.2249</v>
      </c>
      <c r="C10" s="23">
        <f>100*B10/B10</f>
        <v>100</v>
      </c>
      <c r="D10" s="35">
        <f>'21) misura 13'!D10+'22) misura 14'!D10+'23) misura 15A'!D10+'24) misura 15B'!D10</f>
        <v>3.6780575</v>
      </c>
      <c r="E10" s="23">
        <f>100*D10/B10</f>
        <v>35.971574294125126</v>
      </c>
      <c r="F10" s="35">
        <f>'21) misura 13'!F10+'22) misura 14'!F10+'23) misura 15A'!F10+'24) misura 15B'!F10</f>
        <v>3.8780507</v>
      </c>
      <c r="G10" s="23">
        <f>100*F10/B10</f>
        <v>37.92751713953193</v>
      </c>
      <c r="H10" s="35">
        <f>'21) misura 13'!H10+'22) misura 14'!H10+'23) misura 15A'!H10+'24) misura 15B'!H10</f>
        <v>0.5367077500000001</v>
      </c>
      <c r="I10" s="23">
        <f>100*H10/B10</f>
        <v>5.249026885348513</v>
      </c>
      <c r="J10" s="35">
        <f>'21) misura 13'!J10+'22) misura 14'!J10+'23) misura 15A'!J10+'24) misura 15B'!J10</f>
        <v>2.1320840500000005</v>
      </c>
      <c r="K10" s="25">
        <f>100*J10/B10</f>
        <v>20.851881680994442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'21) misura 13'!B12+'22) misura 14'!B12+'23) misura 15A'!B12+'24) misura 15B'!B12</f>
        <v>11.37175</v>
      </c>
      <c r="C12" s="23">
        <f>100*B12/B12</f>
        <v>99.99999999999999</v>
      </c>
      <c r="D12" s="35">
        <f>'21) misura 13'!D12+'22) misura 14'!D12+'23) misura 15A'!D12+'24) misura 15B'!D12</f>
        <v>4.1845947500000005</v>
      </c>
      <c r="E12" s="23">
        <f>100*D12/B12</f>
        <v>36.798159913821536</v>
      </c>
      <c r="F12" s="35">
        <f>'21) misura 13'!F12+'22) misura 14'!F12+'23) misura 15A'!F12+'24) misura 15B'!F12</f>
        <v>4.39261455</v>
      </c>
      <c r="G12" s="23">
        <f>100*F12/B12</f>
        <v>38.627428056367755</v>
      </c>
      <c r="H12" s="35">
        <f>'21) misura 13'!H12+'22) misura 14'!H12+'23) misura 15A'!H12+'24) misura 15B'!H12</f>
        <v>0.556914075</v>
      </c>
      <c r="I12" s="23">
        <f>100*H12/B12</f>
        <v>4.89734715413195</v>
      </c>
      <c r="J12" s="35">
        <f>'21) misura 13'!J12+'22) misura 14'!J12+'23) misura 15A'!J12+'24) misura 15B'!J12</f>
        <v>2.237626625</v>
      </c>
      <c r="K12" s="25">
        <f>100*J12/B12</f>
        <v>19.677064875678763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'21) misura 13'!B14+'22) misura 14'!B14+'23) misura 15A'!B14+'24) misura 15B'!B14</f>
        <v>26.82775</v>
      </c>
      <c r="C14" s="23">
        <f>100*B14/B14</f>
        <v>100</v>
      </c>
      <c r="D14" s="35">
        <f>'21) misura 13'!D14+'22) misura 14'!D14+'23) misura 15A'!D14+'24) misura 15B'!D14</f>
        <v>11.78081075</v>
      </c>
      <c r="E14" s="23">
        <f>100*D14/B14</f>
        <v>43.91277967775903</v>
      </c>
      <c r="F14" s="35">
        <f>'21) misura 13'!F14+'22) misura 14'!F14+'23) misura 15A'!F14+'24) misura 15B'!F14</f>
        <v>12.00624335</v>
      </c>
      <c r="G14" s="23">
        <f>100*F14/B14</f>
        <v>44.753076012710714</v>
      </c>
      <c r="H14" s="35">
        <f>'21) misura 13'!H14+'22) misura 14'!H14+'23) misura 15A'!H14+'24) misura 15B'!H14</f>
        <v>0.607469275</v>
      </c>
      <c r="I14" s="23">
        <f>100*H14/B14</f>
        <v>2.2643318019587926</v>
      </c>
      <c r="J14" s="35">
        <f>'21) misura 13'!J14+'22) misura 14'!J14+'23) misura 15A'!J14+'24) misura 15B'!J14</f>
        <v>2.4312266250000003</v>
      </c>
      <c r="K14" s="25">
        <f>100*J14/B14</f>
        <v>9.062357540233528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'21) misura 13'!B16+'22) misura 14'!B16+'23) misura 15A'!B16+'24) misura 15B'!B16</f>
        <v>27.95175</v>
      </c>
      <c r="C16" s="23">
        <f>100*B16/B16</f>
        <v>100</v>
      </c>
      <c r="D16" s="35">
        <f>'21) misura 13'!D16+'22) misura 14'!D16+'23) misura 15A'!D16+'24) misura 15B'!D16</f>
        <v>12.023122749999999</v>
      </c>
      <c r="E16" s="23">
        <f>100*D16/B16</f>
        <v>43.0138461813661</v>
      </c>
      <c r="F16" s="35">
        <f>'21) misura 13'!F16+'22) misura 14'!F16+'23) misura 15A'!F16+'24) misura 15B'!F16</f>
        <v>12.29324995</v>
      </c>
      <c r="G16" s="23">
        <f>100*F16/B16</f>
        <v>43.980251504825276</v>
      </c>
      <c r="H16" s="35">
        <f>'21) misura 13'!H16+'22) misura 14'!H16+'23) misura 15A'!H16+'24) misura 15B'!H16</f>
        <v>0.7279006750000001</v>
      </c>
      <c r="I16" s="23">
        <f>100*H16/B16</f>
        <v>2.6041327466079944</v>
      </c>
      <c r="J16" s="35">
        <f>'21) misura 13'!J16+'22) misura 14'!J16+'23) misura 15A'!J16+'24) misura 15B'!J16</f>
        <v>2.9074766249999997</v>
      </c>
      <c r="K16" s="25">
        <f>100*J16/B16</f>
        <v>10.401769567200622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'21) misura 13'!B18+'22) misura 14'!B18+'23) misura 15A'!B18+'24) misura 15B'!B18</f>
        <v>28.312549999999998</v>
      </c>
      <c r="C18" s="23">
        <f>100*B18/B18</f>
        <v>100</v>
      </c>
      <c r="D18" s="35">
        <f>'21) misura 13'!D18+'22) misura 14'!D18+'23) misura 15A'!D18+'24) misura 15B'!D18</f>
        <v>12.09075075</v>
      </c>
      <c r="E18" s="23">
        <f>100*D18/B18</f>
        <v>42.70456299414924</v>
      </c>
      <c r="F18" s="35">
        <f>'21) misura 13'!F18+'22) misura 14'!F18+'23) misura 15A'!F18+'24) misura 15B'!F18</f>
        <v>12.37836035</v>
      </c>
      <c r="G18" s="23">
        <f>100*F18/B18</f>
        <v>43.72040084697423</v>
      </c>
      <c r="H18" s="35">
        <f>'21) misura 13'!H18+'22) misura 14'!H18+'23) misura 15A'!H18+'24) misura 15B'!H18</f>
        <v>0.768562275</v>
      </c>
      <c r="I18" s="23">
        <f>100*H18/B18</f>
        <v>2.714563947789938</v>
      </c>
      <c r="J18" s="35">
        <f>'21) misura 13'!J18+'22) misura 14'!J18+'23) misura 15A'!J18+'24) misura 15B'!J18</f>
        <v>3.073876625</v>
      </c>
      <c r="K18" s="25">
        <f>100*J18/B18</f>
        <v>10.856940208494112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115.2467</v>
      </c>
      <c r="C20" s="24">
        <f>100*B20/B20</f>
        <v>100</v>
      </c>
      <c r="D20" s="48">
        <f>SUM(D18+D16+D14+D12+D10+D8+D6)</f>
        <v>47.4020245</v>
      </c>
      <c r="E20" s="24">
        <f>100*D20/B20</f>
        <v>41.13091698070314</v>
      </c>
      <c r="F20" s="48">
        <f>SUM(F18+F16+F14+F12+F10+F8+F6)</f>
        <v>48.8221473</v>
      </c>
      <c r="G20" s="24">
        <f>100*F20/B20</f>
        <v>42.36316293655263</v>
      </c>
      <c r="H20" s="48">
        <f>SUM(H18+H16+H14+H12+H10+H8+H6)</f>
        <v>3.8115376500000004</v>
      </c>
      <c r="I20" s="24">
        <f>100*H20/B20</f>
        <v>3.307285718376318</v>
      </c>
      <c r="J20" s="48">
        <f>SUM(J18+J16+J14+J12+J10+J8+J6)</f>
        <v>15.207990549999998</v>
      </c>
      <c r="K20" s="26">
        <f>100*J20/B20</f>
        <v>13.196031252955613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&amp;L&amp;8&amp;A&amp;C203&amp;R&amp;8&amp;F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4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89.25">
      <c r="A2" s="20" t="s">
        <v>77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9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5" t="s">
        <v>62</v>
      </c>
      <c r="B5" s="9"/>
      <c r="C5" s="9"/>
      <c r="D5" s="9"/>
      <c r="E5" s="9"/>
      <c r="F5" s="9"/>
      <c r="G5" s="9"/>
      <c r="H5" s="9"/>
      <c r="I5" s="9"/>
      <c r="J5" s="9"/>
      <c r="K5" s="16"/>
    </row>
    <row r="6" spans="1:11" ht="12.75">
      <c r="A6" s="14"/>
      <c r="B6" s="35">
        <f>'21) misura 13'!B20</f>
        <v>49.5</v>
      </c>
      <c r="C6" s="23">
        <f>100*B6/B6</f>
        <v>100</v>
      </c>
      <c r="D6" s="35">
        <f>'21) misura 13'!D20</f>
        <v>24.75</v>
      </c>
      <c r="E6" s="23">
        <f>100*D6/B6</f>
        <v>50</v>
      </c>
      <c r="F6" s="35">
        <f>'21) misura 13'!F20</f>
        <v>24.75</v>
      </c>
      <c r="G6" s="23">
        <f>100*F6/B6</f>
        <v>50</v>
      </c>
      <c r="H6" s="35">
        <f>'21) misura 13'!H20</f>
        <v>0</v>
      </c>
      <c r="I6" s="23">
        <f>100*H6/B6</f>
        <v>0</v>
      </c>
      <c r="J6" s="35">
        <f>'21) misura 13'!J20</f>
        <v>0</v>
      </c>
      <c r="K6" s="25">
        <f>100*J6/B6</f>
        <v>0</v>
      </c>
    </row>
    <row r="7" spans="1:11" ht="12.75">
      <c r="A7" s="15" t="s">
        <v>63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'22) misura 14'!B20</f>
        <v>30.359800000000003</v>
      </c>
      <c r="C8" s="23">
        <f>100*B8/B8</f>
        <v>100</v>
      </c>
      <c r="D8" s="35">
        <f>'22) misura 14'!D20</f>
        <v>15.179900000000002</v>
      </c>
      <c r="E8" s="23">
        <f>100*D8/B8</f>
        <v>50</v>
      </c>
      <c r="F8" s="35">
        <f>'22) misura 14'!F20</f>
        <v>15.179900000000002</v>
      </c>
      <c r="G8" s="23">
        <f>100*F8/B8</f>
        <v>50</v>
      </c>
      <c r="H8" s="35">
        <f>'22) misura 14'!H20</f>
        <v>0</v>
      </c>
      <c r="I8" s="23">
        <f>100*H8/B8</f>
        <v>0</v>
      </c>
      <c r="J8" s="35">
        <f>'22) misura 14'!J20</f>
        <v>0</v>
      </c>
      <c r="K8" s="25">
        <f>100*J8/B8</f>
        <v>0</v>
      </c>
    </row>
    <row r="9" spans="1:11" ht="12.75">
      <c r="A9" s="15" t="s">
        <v>64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'23) misura 15A'!B20</f>
        <v>1.3188999999999997</v>
      </c>
      <c r="C10" s="23">
        <f>100*B10/B10</f>
        <v>100.00000000000001</v>
      </c>
      <c r="D10" s="35">
        <f>'23) misura 15A'!D20</f>
        <v>0.24399649999999995</v>
      </c>
      <c r="E10" s="23">
        <f>100*D10/B10</f>
        <v>18.5</v>
      </c>
      <c r="F10" s="35">
        <f>'23) misura 15A'!F20</f>
        <v>0.2914769</v>
      </c>
      <c r="G10" s="23">
        <f>100*F10/B10</f>
        <v>22.1</v>
      </c>
      <c r="H10" s="35">
        <f>'23) misura 15A'!H20</f>
        <v>0.12463604999999998</v>
      </c>
      <c r="I10" s="23">
        <f>100*H10/B10</f>
        <v>9.45</v>
      </c>
      <c r="J10" s="35">
        <f>'23) misura 15A'!J20</f>
        <v>0.6587905499999999</v>
      </c>
      <c r="K10" s="25">
        <f>100*J10/B10</f>
        <v>49.949999999999996</v>
      </c>
    </row>
    <row r="11" spans="1:11" ht="12.75">
      <c r="A11" s="15" t="s">
        <v>65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'24) misura 15B'!B20</f>
        <v>34.068</v>
      </c>
      <c r="C12" s="23">
        <f>100*B12/B12</f>
        <v>100</v>
      </c>
      <c r="D12" s="35">
        <f>'24) misura 15B'!D20</f>
        <v>7.228128</v>
      </c>
      <c r="E12" s="23">
        <f>100*D12/B12</f>
        <v>21.21676646706587</v>
      </c>
      <c r="F12" s="35">
        <f>'24) misura 15B'!F20</f>
        <v>8.6017704</v>
      </c>
      <c r="G12" s="23">
        <f>100*F12/B12</f>
        <v>25.248827051778793</v>
      </c>
      <c r="H12" s="35">
        <f>'24) misura 15B'!H20</f>
        <v>3.6869015999999997</v>
      </c>
      <c r="I12" s="23">
        <f>100*H12/B12</f>
        <v>10.822183867559</v>
      </c>
      <c r="J12" s="35">
        <f>'24) misura 15B'!J20</f>
        <v>14.549199999999999</v>
      </c>
      <c r="K12" s="25">
        <f>100*J12/B12</f>
        <v>42.70635200187859</v>
      </c>
    </row>
    <row r="13" spans="1:11" s="1" customFormat="1" ht="12.75">
      <c r="A13" s="17" t="s">
        <v>43</v>
      </c>
      <c r="B13" s="7"/>
      <c r="C13" s="7"/>
      <c r="D13" s="7"/>
      <c r="E13" s="7"/>
      <c r="F13" s="7"/>
      <c r="G13" s="7"/>
      <c r="H13" s="7"/>
      <c r="I13" s="7"/>
      <c r="J13" s="7"/>
      <c r="K13" s="18"/>
    </row>
    <row r="14" spans="1:11" s="1" customFormat="1" ht="13.5" thickBot="1">
      <c r="A14" s="19"/>
      <c r="B14" s="48">
        <f>SUM(B6+B8+B10+B12)</f>
        <v>115.2467</v>
      </c>
      <c r="C14" s="24">
        <f>100*B14/B14</f>
        <v>100</v>
      </c>
      <c r="D14" s="48">
        <f>SUM(D6+D8+D10+D12)</f>
        <v>47.4020245</v>
      </c>
      <c r="E14" s="24">
        <f>100*D14/B14</f>
        <v>41.13091698070314</v>
      </c>
      <c r="F14" s="48">
        <f>SUM(F6+F8+F10+F12)-0.001</f>
        <v>48.822147300000005</v>
      </c>
      <c r="G14" s="24">
        <f>100*F14/B14</f>
        <v>42.363162936552634</v>
      </c>
      <c r="H14" s="48">
        <f>SUM(H6+H8+H10+H12)</f>
        <v>3.8115376499999996</v>
      </c>
      <c r="I14" s="24">
        <f>100*H14/B14</f>
        <v>3.3072857183763174</v>
      </c>
      <c r="J14" s="48">
        <f>SUM(J6+J8+J10+J12)</f>
        <v>15.207990549999998</v>
      </c>
      <c r="K14" s="26">
        <f>100*J14/B14</f>
        <v>13.196031252955613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&amp;L&amp;8&amp;A&amp;C204&amp;R&amp;8&amp;F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2">
      <selection activeCell="B22" sqref="B22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9.574218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4"/>
      <c r="K1" s="66"/>
    </row>
    <row r="2" spans="1:17" s="2" customFormat="1" ht="89.25">
      <c r="A2" s="20" t="s">
        <v>78</v>
      </c>
      <c r="B2" s="69" t="s">
        <v>44</v>
      </c>
      <c r="C2" s="69"/>
      <c r="D2" s="69" t="s">
        <v>45</v>
      </c>
      <c r="E2" s="69"/>
      <c r="F2" s="69"/>
      <c r="G2" s="69"/>
      <c r="H2" s="69"/>
      <c r="I2" s="69"/>
      <c r="J2" s="69" t="s">
        <v>46</v>
      </c>
      <c r="K2" s="7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70"/>
      <c r="C3" s="70"/>
      <c r="D3" s="73" t="s">
        <v>47</v>
      </c>
      <c r="E3" s="73"/>
      <c r="F3" s="73" t="s">
        <v>48</v>
      </c>
      <c r="G3" s="73"/>
      <c r="H3" s="73" t="s">
        <v>49</v>
      </c>
      <c r="I3" s="73"/>
      <c r="J3" s="70"/>
      <c r="K3" s="72"/>
    </row>
    <row r="4" spans="1:11" s="2" customFormat="1" ht="12.75">
      <c r="A4" s="22" t="s">
        <v>10</v>
      </c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11" t="s">
        <v>0</v>
      </c>
    </row>
    <row r="5" spans="1:11" ht="12.75">
      <c r="A5" s="12" t="s">
        <v>36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5">
        <f>'8) misura 1'!B6+'9) misura 2'!B6+'10) misura 3'!B6+'11) misura 4'!B6+' 12) misura 5 - I'!B6</f>
        <v>0</v>
      </c>
      <c r="C6" s="23" t="e">
        <f>100*B6/B6</f>
        <v>#DIV/0!</v>
      </c>
      <c r="D6" s="35">
        <f>'8) misura 1'!D6+'9) misura 2'!D6+'10) misura 3'!D6+'11) misura 4'!D6+' 12) misura 5 - I'!D6</f>
        <v>0</v>
      </c>
      <c r="E6" s="23" t="e">
        <f>100*D6/B6</f>
        <v>#DIV/0!</v>
      </c>
      <c r="F6" s="35">
        <f>'8) misura 1'!F6+'9) misura 2'!F6+'10) misura 3'!F6+'11) misura 4'!F6+' 12) misura 5 - I'!F6</f>
        <v>0</v>
      </c>
      <c r="G6" s="5" t="e">
        <f>100*F6/B6</f>
        <v>#DIV/0!</v>
      </c>
      <c r="H6" s="35">
        <f>'8) misura 1'!H6+'9) misura 2'!H6+'10) misura 3'!H6+'11) misura 4'!H6+' 12) misura 5 - I'!H6</f>
        <v>0</v>
      </c>
      <c r="I6" s="5" t="e">
        <f>100*H6/B6</f>
        <v>#DIV/0!</v>
      </c>
      <c r="J6" s="35">
        <f>'8) misura 1'!J6+'9) misura 2'!J6+'10) misura 3'!J6+'11) misura 4'!J6+' 12) misura 5 - I'!J6</f>
        <v>0</v>
      </c>
      <c r="K6" s="25" t="e">
        <f>100*J6/B6</f>
        <v>#DIV/0!</v>
      </c>
    </row>
    <row r="7" spans="1:11" ht="12.7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5">
        <f>'8) misura 1'!B8+'9) misura 2'!B8+'10) misura 3'!B8+'11) misura 4'!B8+' 12) misura 5 - I'!B8</f>
        <v>7.596416666666666</v>
      </c>
      <c r="C8" s="23">
        <f>100*B8/B8</f>
        <v>100</v>
      </c>
      <c r="D8" s="35">
        <f>'8) misura 1'!D8+'9) misura 2'!D8+'10) misura 3'!D8+'11) misura 4'!D8+' 12) misura 5 - I'!D8</f>
        <v>1.4401879166666667</v>
      </c>
      <c r="E8" s="23">
        <f>100*D8/B8</f>
        <v>18.958779907193083</v>
      </c>
      <c r="F8" s="35">
        <f>'8) misura 1'!F8+'9) misura 2'!F8+'10) misura 3'!F8+'11) misura 4'!F8+' 12) misura 5 - I'!F8</f>
        <v>1.8409530416666664</v>
      </c>
      <c r="G8" s="23">
        <f>100*F8/B8</f>
        <v>24.234492688438625</v>
      </c>
      <c r="H8" s="35">
        <f>'8) misura 1'!H8+'9) misura 2'!H8+'10) misura 3'!H8+'11) misura 4'!H8+' 12) misura 5 - I'!H8</f>
        <v>0.7889798750000001</v>
      </c>
      <c r="I8" s="23">
        <f>100*H8/B8</f>
        <v>10.386211152187986</v>
      </c>
      <c r="J8" s="35">
        <f>'8) misura 1'!J8+'9) misura 2'!J8+'10) misura 3'!J8+'11) misura 4'!J8+' 12) misura 5 - I'!J8</f>
        <v>3.526295833333333</v>
      </c>
      <c r="K8" s="25">
        <f>100*J8/B8</f>
        <v>46.4205162521803</v>
      </c>
    </row>
    <row r="9" spans="1:11" ht="12.75">
      <c r="A9" s="15" t="s">
        <v>38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5">
        <f>'8) misura 1'!B10+'9) misura 2'!B10+'10) misura 3'!B10+'11) misura 4'!B10+' 12) misura 5 - I'!B10</f>
        <v>8.518983333333333</v>
      </c>
      <c r="C10" s="23">
        <f>100*B10/B10</f>
        <v>100</v>
      </c>
      <c r="D10" s="35">
        <f>'8) misura 1'!D10+'9) misura 2'!D10+'10) misura 3'!D10+'11) misura 4'!D10+' 12) misura 5 - I'!D10</f>
        <v>1.6336964166666665</v>
      </c>
      <c r="E10" s="23">
        <f>100*D10/B10</f>
        <v>19.177128921878396</v>
      </c>
      <c r="F10" s="35">
        <f>'8) misura 1'!F10+'9) misura 2'!F10+'10) misura 3'!F10+'11) misura 4'!F10+' 12) misura 5 - I'!F10</f>
        <v>2.0808075916666664</v>
      </c>
      <c r="G10" s="23">
        <f>100*F10/B10</f>
        <v>24.42553894341852</v>
      </c>
      <c r="H10" s="35">
        <f>'8) misura 1'!H10+'9) misura 2'!H10+'10) misura 3'!H10+'11) misura 4'!H10+' 12) misura 5 - I'!H10</f>
        <v>0.859631825</v>
      </c>
      <c r="I10" s="23">
        <f>100*H10/B10</f>
        <v>10.090779513987389</v>
      </c>
      <c r="J10" s="35">
        <f>'8) misura 1'!J10+'9) misura 2'!J10+'10) misura 3'!J10+'11) misura 4'!J10+' 12) misura 5 - I'!J10</f>
        <v>3.9448475000000003</v>
      </c>
      <c r="K10" s="25">
        <f>100*J10/B10</f>
        <v>46.3065526207157</v>
      </c>
    </row>
    <row r="11" spans="1:11" ht="12.75">
      <c r="A11" s="15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5">
        <f>'8) misura 1'!B12+'9) misura 2'!B12+'10) misura 3'!B12+'11) misura 4'!B12+' 12) misura 5 - I'!B12</f>
        <v>8.92365</v>
      </c>
      <c r="C12" s="23">
        <f>100*B12/B12</f>
        <v>100</v>
      </c>
      <c r="D12" s="35">
        <f>'8) misura 1'!D12+'9) misura 2'!D12+'10) misura 3'!D12+'11) misura 4'!D12+' 12) misura 5 - I'!D12</f>
        <v>1.6943964166666665</v>
      </c>
      <c r="E12" s="23">
        <f>100*D12/B12</f>
        <v>18.987705890153318</v>
      </c>
      <c r="F12" s="35">
        <f>'8) misura 1'!F12+'9) misura 2'!F12+'10) misura 3'!F12+'11) misura 4'!F12+' 12) misura 5 - I'!F12</f>
        <v>2.1657875916666667</v>
      </c>
      <c r="G12" s="23">
        <f>100*F12/B12</f>
        <v>24.2701987602233</v>
      </c>
      <c r="H12" s="35">
        <f>'8) misura 1'!H12+'9) misura 2'!H12+'10) misura 3'!H12+'11) misura 4'!H12+' 12) misura 5 - I'!H12</f>
        <v>0.896051825</v>
      </c>
      <c r="I12" s="23">
        <f>100*H12/B12</f>
        <v>10.041315212945374</v>
      </c>
      <c r="J12" s="35">
        <f>'8) misura 1'!J12+'9) misura 2'!J12+'10) misura 3'!J12+'11) misura 4'!J12+' 12) misura 5 - I'!J12</f>
        <v>4.167414166666667</v>
      </c>
      <c r="K12" s="25">
        <f>100*J12/B12</f>
        <v>46.70078013667801</v>
      </c>
    </row>
    <row r="13" spans="1:11" ht="12.75">
      <c r="A13" s="15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5">
        <f>'8) misura 1'!B14+'9) misura 2'!B14+'10) misura 3'!B14+'11) misura 4'!B14+' 12) misura 5 - I'!B14</f>
        <v>11.594316666666668</v>
      </c>
      <c r="C14" s="23">
        <f>100*B14/B14</f>
        <v>100</v>
      </c>
      <c r="D14" s="35">
        <f>'8) misura 1'!D14+'9) misura 2'!D14+'10) misura 3'!D14+'11) misura 4'!D14+' 12) misura 5 - I'!D14</f>
        <v>2.0949964166666666</v>
      </c>
      <c r="E14" s="23">
        <f>100*D14/B14</f>
        <v>18.069166790050872</v>
      </c>
      <c r="F14" s="35">
        <f>'8) misura 1'!F14+'9) misura 2'!F14+'10) misura 3'!F14+'11) misura 4'!F14+' 12) misura 5 - I'!F14</f>
        <v>2.7266275916666665</v>
      </c>
      <c r="G14" s="23">
        <f>100*F14/B14</f>
        <v>23.516932218227605</v>
      </c>
      <c r="H14" s="35">
        <f>'8) misura 1'!H14+'9) misura 2'!H14+'10) misura 3'!H14+'11) misura 4'!H14+' 12) misura 5 - I'!H14</f>
        <v>1.136411825</v>
      </c>
      <c r="I14" s="23">
        <f>100*H14/B14</f>
        <v>9.801455813839826</v>
      </c>
      <c r="J14" s="35">
        <f>'8) misura 1'!J14+'9) misura 2'!J14+'10) misura 3'!J14+'11) misura 4'!J14+' 12) misura 5 - I'!J14</f>
        <v>5.636280833333334</v>
      </c>
      <c r="K14" s="25">
        <f>100*J14/B14</f>
        <v>48.612445177881696</v>
      </c>
    </row>
    <row r="15" spans="1:11" ht="12.75">
      <c r="A15" s="1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5">
        <f>'8) misura 1'!B16+'9) misura 2'!B16+'10) misura 3'!B16+'11) misura 4'!B16+' 12) misura 5 - I'!B16</f>
        <v>11.54765</v>
      </c>
      <c r="C16" s="23">
        <f>100*B16/B16</f>
        <v>100</v>
      </c>
      <c r="D16" s="35">
        <f>'8) misura 1'!D16+'9) misura 2'!D16+'10) misura 3'!D16+'11) misura 4'!D16+' 12) misura 5 - I'!D16</f>
        <v>2.087996416666667</v>
      </c>
      <c r="E16" s="23">
        <f>100*D16/B16</f>
        <v>18.081569987544366</v>
      </c>
      <c r="F16" s="35">
        <f>'8) misura 1'!F16+'9) misura 2'!F16+'10) misura 3'!F16+'11) misura 4'!F16+' 12) misura 5 - I'!F16</f>
        <v>2.716827591666666</v>
      </c>
      <c r="G16" s="23">
        <f>100*F16/B16</f>
        <v>23.52710371085603</v>
      </c>
      <c r="H16" s="35">
        <f>'8) misura 1'!H16+'9) misura 2'!H16+'10) misura 3'!H16+'11) misura 4'!H16+' 12) misura 5 - I'!H16</f>
        <v>1.132211825</v>
      </c>
      <c r="I16" s="23">
        <f>100*H16/B16</f>
        <v>9.804694678137976</v>
      </c>
      <c r="J16" s="35">
        <f>'8) misura 1'!J16+'9) misura 2'!J16+'10) misura 3'!J16+'11) misura 4'!J16+' 12) misura 5 - I'!J16</f>
        <v>5.610614166666666</v>
      </c>
      <c r="K16" s="25">
        <f>100*J16/B16</f>
        <v>48.58663162346163</v>
      </c>
    </row>
    <row r="17" spans="1:11" ht="12.75">
      <c r="A17" s="15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5">
        <f>'8) misura 1'!B18+'9) misura 2'!B18+'10) misura 3'!B18+'11) misura 4'!B18+' 12) misura 5 - I'!B18</f>
        <v>11.786983333333334</v>
      </c>
      <c r="C18" s="23">
        <f>100*B18/B18</f>
        <v>99.99999999999999</v>
      </c>
      <c r="D18" s="35">
        <f>'8) misura 1'!D18+'9) misura 2'!D18+'10) misura 3'!D18+'11) misura 4'!D18+' 12) misura 5 - I'!D18</f>
        <v>2.1238964166666667</v>
      </c>
      <c r="E18" s="23">
        <f>100*D18/B18</f>
        <v>18.018999065353164</v>
      </c>
      <c r="F18" s="35">
        <f>'8) misura 1'!F18+'9) misura 2'!F18+'10) misura 3'!F18+'11) misura 4'!F18+' 12) misura 5 - I'!F18</f>
        <v>2.767087591666667</v>
      </c>
      <c r="G18" s="23">
        <f>100*F18/B18</f>
        <v>23.475791162284953</v>
      </c>
      <c r="H18" s="35">
        <f>'8) misura 1'!H18+'9) misura 2'!H18+'10) misura 3'!H18+'11) misura 4'!H18+' 12) misura 5 - I'!H18</f>
        <v>1.1537518249999998</v>
      </c>
      <c r="I18" s="23">
        <f>100*H18/B18</f>
        <v>9.78835544576715</v>
      </c>
      <c r="J18" s="35">
        <f>'8) misura 1'!J18+'9) misura 2'!J18+'10) misura 3'!J18+'11) misura 4'!J18+' 12) misura 5 - I'!J18</f>
        <v>5.7422474999999995</v>
      </c>
      <c r="K18" s="25">
        <f>100*J18/B18</f>
        <v>48.71685432659473</v>
      </c>
    </row>
    <row r="19" spans="1:11" s="1" customFormat="1" ht="12.75">
      <c r="A19" s="1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48">
        <f>SUM(B18+B16+B14+B12+B10+B8+B6)</f>
        <v>59.968</v>
      </c>
      <c r="C20" s="24">
        <f>100*B20/B20</f>
        <v>100</v>
      </c>
      <c r="D20" s="48">
        <f>SUM(D18+D16+D14+D12+D10+D8+D6)</f>
        <v>11.075169999999998</v>
      </c>
      <c r="E20" s="24">
        <f>100*D20/B20</f>
        <v>18.468466515474915</v>
      </c>
      <c r="F20" s="48">
        <f>SUM(F18+F16+F14+F12+F10+F8+F6)</f>
        <v>14.298091</v>
      </c>
      <c r="G20" s="24">
        <f>100*F20/B20</f>
        <v>23.84286786286019</v>
      </c>
      <c r="H20" s="48">
        <f>SUM(H18+H16+H14+H12+H10+H8+H6)</f>
        <v>5.967039</v>
      </c>
      <c r="I20" s="24">
        <f>100*H20/B20</f>
        <v>9.950371864994663</v>
      </c>
      <c r="J20" s="48">
        <f>SUM(J18+J16+J14+J12+J10+J8+J6)</f>
        <v>28.6277</v>
      </c>
      <c r="K20" s="26">
        <f>100*J20/B20</f>
        <v>47.738293756670224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&amp;C&amp;"Arial,Grassetto"AUTONOME PROVINZ BOZEN&amp;"Arial,Normale"
&amp;"Arial,Grassetto"ENTWICKLUNGSPLAN FÜR DEN LÄNDLICHEN RAUM 2000-2006&amp;"Arial,Normale"
&amp;"Arial,Grassetto"INDIKATIVER FINANZIERUNGSPLAN</oddHeader>
    <oddFooter>&amp;L&amp;8&amp;A&amp;C181&amp;R&amp;8&amp;F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PB15397</cp:lastModifiedBy>
  <cp:lastPrinted>2000-10-23T09:19:20Z</cp:lastPrinted>
  <dcterms:created xsi:type="dcterms:W3CDTF">1999-08-17T06:38:03Z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